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drawings/drawing8.xml" ContentType="application/vnd.openxmlformats-officedocument.drawing+xml"/>
  <Override PartName="/xl/tables/table2.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3.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58ad993c776f45e2" Type="http://schemas.microsoft.com/office/2007/relationships/ui/extensibility" Target="NUL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f6dac7308561481b" Type="http://schemas.microsoft.com/office/2006/relationships/ui/extensibility" Target="NUL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codeName="ThisWorkbook" hidePivotFieldList="1"/>
  <mc:AlternateContent xmlns:mc="http://schemas.openxmlformats.org/markup-compatibility/2006">
    <mc:Choice Requires="x15">
      <x15ac:absPath xmlns:x15ac="http://schemas.microsoft.com/office/spreadsheetml/2010/11/ac" url="C:\Users\HP\Zoho WorkDrive (nasiaconsultcolimited)\Finance and Accounting\2024\Accounting\"/>
    </mc:Choice>
  </mc:AlternateContent>
  <xr:revisionPtr revIDLastSave="0" documentId="13_ncr:1_{E8CA1829-66C8-4375-B448-D6969FEF83B2}" xr6:coauthVersionLast="36" xr6:coauthVersionMax="47" xr10:uidLastSave="{00000000-0000-0000-0000-000000000000}"/>
  <bookViews>
    <workbookView xWindow="0" yWindow="0" windowWidth="20490" windowHeight="7545" tabRatio="798" firstSheet="3" activeTab="6" xr2:uid="{00000000-000D-0000-FFFF-FFFF00000000}"/>
  </bookViews>
  <sheets>
    <sheet name="Info" sheetId="24" state="hidden" r:id="rId1"/>
    <sheet name="Trial" sheetId="23" state="hidden" r:id="rId2"/>
    <sheet name="Instructions" sheetId="11" r:id="rId3"/>
    <sheet name="Setup" sheetId="13" r:id="rId4"/>
    <sheet name="Groups" sheetId="25" r:id="rId5"/>
    <sheet name="TB" sheetId="3" r:id="rId6"/>
    <sheet name="Customers" sheetId="29" r:id="rId7"/>
    <sheet name="Income" sheetId="14" r:id="rId8"/>
    <sheet name="Invoice" sheetId="30" r:id="rId9"/>
    <sheet name="Statement" sheetId="31" r:id="rId10"/>
    <sheet name="Expenses" sheetId="2" r:id="rId11"/>
    <sheet name="IS" sheetId="7" r:id="rId12"/>
    <sheet name="CFS" sheetId="26" r:id="rId13"/>
    <sheet name="BS" sheetId="17" r:id="rId14"/>
    <sheet name="Bank" sheetId="27" r:id="rId15"/>
    <sheet name="SalesTax" sheetId="28" r:id="rId16"/>
  </sheets>
  <definedNames>
    <definedName name="_xlnm._FilterDatabase" localSheetId="14" hidden="1">Bank!$A$4:$C$4</definedName>
    <definedName name="_xlnm._FilterDatabase" localSheetId="13" hidden="1">BS!$B$4:$F$58</definedName>
    <definedName name="_xlnm._FilterDatabase" localSheetId="12" hidden="1">CFS!$A$4:$E$42</definedName>
    <definedName name="_xlnm._FilterDatabase" localSheetId="10" hidden="1">Expenses!$A$4:$M$300</definedName>
    <definedName name="_xlnm._FilterDatabase" localSheetId="7" hidden="1">Income!$A$4:$N$84</definedName>
    <definedName name="_xlnm._FilterDatabase" localSheetId="8" hidden="1">Invoice!$F$9:$H$12</definedName>
    <definedName name="_xlnm._FilterDatabase" localSheetId="11" hidden="1">IS!$A$4:$E$50</definedName>
    <definedName name="_xlnm._FilterDatabase" localSheetId="15" hidden="1">SalesTax!#REF!</definedName>
    <definedName name="_xlnm._FilterDatabase" localSheetId="9" hidden="1">Statement!$G$9:$H$12</definedName>
    <definedName name="AccountAll">OFFSET(TB!$A$4,1,0,ROW(TB!$A$99)-ROW(TB!$A$4),COLUMN(TB!$C$4))</definedName>
    <definedName name="AccountNo">OFFSET(TB!$A$4,1,0,ROW(TB!$A$74)-ROW(TB!$A$4)-1,1)</definedName>
    <definedName name="AccountOpen">OFFSET(TB!$E$4,1,0,ROW(TB!$A$99)-ROW(TB!$A$4),1)</definedName>
    <definedName name="AccountSelect">OFFSET(TB!$A$4,1,0,ROW(TB!$A$74)-ROW(TB!$A$4)-1,COLUMN(TB!$A$4))</definedName>
    <definedName name="BankAll">OFFSET(Setup!$A$32,1,0,ROW(Setup!$B$51)-ROW(Setup!$B$32)-1,COLUMN(Setup!$B$32))</definedName>
    <definedName name="BankCode">OFFSET(Setup!$A$32,1,0,ROW(Setup!$B$51)-ROW(Setup!$B$32)-1,1)</definedName>
    <definedName name="CustomerCode">Customer[[#Data],[Code]]</definedName>
    <definedName name="ExpAccount">Expense[[#Data],[Account Number]]</definedName>
    <definedName name="ExpBank">Expense[[#Data],[Bank Code]]</definedName>
    <definedName name="ExpDocDate">Expense[[#Data],[Document Date]]</definedName>
    <definedName name="ExpError">Expense[[#Data],[Error Code]]</definedName>
    <definedName name="ExpExcl">Expense[[#Data],[Exclusive Amount]]</definedName>
    <definedName name="ExpIncl">Expense[[#Data],[Inclusive Amount]]</definedName>
    <definedName name="ExpPayDate">Expense[[#Data],[Payment Date]]</definedName>
    <definedName name="ExpTax1">Expense[[#Data],[Sales Tax 1 Amount]]</definedName>
    <definedName name="ExpTax2">Expense[[#Data],[Sales Tax 2 Amount]]</definedName>
    <definedName name="ExpTaxCode1">Expense[[#Data],[Tax 1 Code]]</definedName>
    <definedName name="ExpTaxCode2">Expense[[#Data],[Tax 2 Code]]</definedName>
    <definedName name="ExpTaxCount">COLUMN(Expenses!$O$4)-COLUMN(Expenses!$M$4)</definedName>
    <definedName name="GroupAll">OFFSET(Groups!$A$4,1,0,ROW(Groups!$A$36)-ROW(Groups!$A$4),COLUMN(Groups!$B$4))</definedName>
    <definedName name="IncAccount">Income[[#Data],[Account Number]]</definedName>
    <definedName name="IncBank">Income[[#Data],[Bank Code]]</definedName>
    <definedName name="IncCus">Income[[#Data],[Customer]]</definedName>
    <definedName name="IncDocDate">Income[[#Data],[Invoice Date]]</definedName>
    <definedName name="IncError">Income[[#Data],[Error Code]]</definedName>
    <definedName name="IncExcl">Income[[#Data],[Exclusive Amount]]</definedName>
    <definedName name="IncIncl">Income[[#Data],[Inclusive Amount]]</definedName>
    <definedName name="IncInvoice">Income[[#Data],[Invoice Number]]</definedName>
    <definedName name="IncPayAmount">Income[[#Data],[Payment Amount]]</definedName>
    <definedName name="IncPayDate">Income[[#Data],[Payment Date]]</definedName>
    <definedName name="IncStatus">Income[[#Data],[ST1]]</definedName>
    <definedName name="IncTax1">Income[[#Data],[Sales Tax 1 Amount]]</definedName>
    <definedName name="IncTax2">Income[[#Data],[Sales Tax 2 Amount]]</definedName>
    <definedName name="IncTaxCode1">Income[[#Data],[Tax 1 Code]]</definedName>
    <definedName name="IncTaxCode2">Income[[#Data],[Tax 2 Code]]</definedName>
    <definedName name="IncTaxCount">COLUMN(Income!$P$4)-COLUMN(Income!$N$4)</definedName>
    <definedName name="KeyBS">BS!$A$4:$A$57</definedName>
    <definedName name="KeyIS">IS!$A$4:$A$47</definedName>
    <definedName name="MonthNames">Setup!$B$67:$B$78</definedName>
    <definedName name="Months">IS!$C$4:$N$4</definedName>
    <definedName name="_xlnm.Print_Area" localSheetId="13">BS!$B$1:$P$58</definedName>
    <definedName name="_xlnm.Print_Area" localSheetId="12">CFS!$B$1:$O$40</definedName>
    <definedName name="_xlnm.Print_Area" localSheetId="2">Instructions!$A$1:$A$499</definedName>
    <definedName name="_xlnm.Print_Area" localSheetId="8">Invoice!$B$2:$I$53</definedName>
    <definedName name="_xlnm.Print_Area" localSheetId="11">IS!$B$1:$P$48</definedName>
    <definedName name="_xlnm.Print_Area" localSheetId="9">Statement!$B$2:$I$61</definedName>
    <definedName name="_xlnm.Print_Area" localSheetId="5">TB!$A$1:$G$99</definedName>
    <definedName name="_xlnm.Print_Titles" localSheetId="14">Bank!$1:$3</definedName>
    <definedName name="_xlnm.Print_Titles" localSheetId="13">BS!$1:$4</definedName>
    <definedName name="_xlnm.Print_Titles" localSheetId="12">CFS!$1:$4</definedName>
    <definedName name="_xlnm.Print_Titles" localSheetId="6">Customers!$1:$4</definedName>
    <definedName name="_xlnm.Print_Titles" localSheetId="10">Expenses!$1:$4</definedName>
    <definedName name="_xlnm.Print_Titles" localSheetId="4">Groups!$1:$4</definedName>
    <definedName name="_xlnm.Print_Titles" localSheetId="7">Income!$1:$4</definedName>
    <definedName name="_xlnm.Print_Titles" localSheetId="2">Instructions!$1:$4</definedName>
    <definedName name="_xlnm.Print_Titles" localSheetId="11">IS!$1:$4</definedName>
    <definedName name="TaxCode">OFFSET(Setup!$A$23,1,0,ROW(Setup!$B$29)-ROW(Setup!$B$23)-1,1)</definedName>
  </definedNames>
  <calcPr calcId="191029"/>
</workbook>
</file>

<file path=xl/calcChain.xml><?xml version="1.0" encoding="utf-8"?>
<calcChain xmlns="http://schemas.openxmlformats.org/spreadsheetml/2006/main">
  <c r="P84" i="14" l="1"/>
  <c r="O84" i="14" s="1"/>
  <c r="Q84" i="14"/>
  <c r="L84" i="14" s="1" a="1"/>
  <c r="L84" i="14" s="1"/>
  <c r="R84" i="14" a="1"/>
  <c r="R84" i="14" s="1"/>
  <c r="S84" i="14"/>
  <c r="N84" i="14" l="1"/>
  <c r="M84" i="14" s="1" a="1"/>
  <c r="M84" i="14" s="1"/>
  <c r="O19" i="2"/>
  <c r="N19" i="2" s="1"/>
  <c r="P19" i="2"/>
  <c r="O15" i="2"/>
  <c r="N15" i="2" s="1"/>
  <c r="P15" i="2"/>
  <c r="O12" i="2"/>
  <c r="N12" i="2" s="1"/>
  <c r="P12" i="2"/>
  <c r="O13" i="2"/>
  <c r="N13" i="2" s="1"/>
  <c r="P13" i="2"/>
  <c r="O18" i="2"/>
  <c r="N18" i="2" s="1"/>
  <c r="P18" i="2"/>
  <c r="O16" i="2"/>
  <c r="N16" i="2" s="1"/>
  <c r="P16" i="2"/>
  <c r="M15" i="2" l="1"/>
  <c r="L15" i="2" s="1" a="1"/>
  <c r="L15" i="2" s="1"/>
  <c r="M19" i="2"/>
  <c r="L19" i="2" s="1" a="1"/>
  <c r="L19" i="2" s="1"/>
  <c r="M12" i="2"/>
  <c r="L12" i="2" s="1" a="1"/>
  <c r="L12" i="2" s="1"/>
  <c r="M13" i="2"/>
  <c r="L13" i="2" s="1" a="1"/>
  <c r="L13" i="2" s="1"/>
  <c r="M18" i="2"/>
  <c r="L18" i="2" s="1" a="1"/>
  <c r="L18" i="2" s="1"/>
  <c r="M16" i="2"/>
  <c r="L16" i="2" s="1" a="1"/>
  <c r="L16" i="2" s="1"/>
  <c r="O9" i="2"/>
  <c r="N9" i="2" s="1"/>
  <c r="P9" i="2"/>
  <c r="M9" i="2" l="1"/>
  <c r="L9" i="2" s="1" a="1"/>
  <c r="L9" i="2" s="1"/>
  <c r="P34" i="14"/>
  <c r="N34" i="14" s="1"/>
  <c r="Q34" i="14"/>
  <c r="L34" i="14" s="1" a="1"/>
  <c r="L34" i="14" s="1"/>
  <c r="S34" i="14"/>
  <c r="P35" i="14"/>
  <c r="O35" i="14" s="1"/>
  <c r="Q35" i="14"/>
  <c r="L35" i="14" s="1" a="1"/>
  <c r="L35" i="14" s="1"/>
  <c r="S35" i="14"/>
  <c r="R35" i="14" l="1" a="1"/>
  <c r="R35" i="14" s="1"/>
  <c r="N35" i="14"/>
  <c r="M35" i="14" s="1" a="1"/>
  <c r="M35" i="14" s="1"/>
  <c r="O34" i="14"/>
  <c r="M34" i="14" s="1" a="1"/>
  <c r="M34" i="14" s="1"/>
  <c r="R34" i="14" a="1"/>
  <c r="R34" i="14" s="1"/>
  <c r="P32" i="14" l="1"/>
  <c r="N32" i="14" s="1"/>
  <c r="Q32" i="14"/>
  <c r="S32" i="14"/>
  <c r="P33" i="14"/>
  <c r="N33" i="14" s="1"/>
  <c r="Q33" i="14"/>
  <c r="S33" i="14"/>
  <c r="O33" i="14" l="1"/>
  <c r="M33" i="14" s="1" a="1"/>
  <c r="M33" i="14" s="1"/>
  <c r="O32" i="14"/>
  <c r="M32" i="14" s="1" a="1"/>
  <c r="M32" i="14" s="1"/>
  <c r="P10" i="14"/>
  <c r="O10" i="14" s="1"/>
  <c r="Q10" i="14"/>
  <c r="S10" i="14"/>
  <c r="P11" i="14"/>
  <c r="O11" i="14" s="1"/>
  <c r="Q11" i="14"/>
  <c r="L11" i="14" s="1" a="1"/>
  <c r="L11" i="14" s="1"/>
  <c r="S11" i="14"/>
  <c r="P12" i="14"/>
  <c r="O12" i="14" s="1"/>
  <c r="Q12" i="14"/>
  <c r="L12" i="14" s="1" a="1"/>
  <c r="L12" i="14" s="1"/>
  <c r="S12" i="14"/>
  <c r="P13" i="14"/>
  <c r="O13" i="14" s="1"/>
  <c r="Q13" i="14"/>
  <c r="R13" i="14" s="1" a="1"/>
  <c r="R13" i="14" s="1"/>
  <c r="S13" i="14"/>
  <c r="P14" i="14"/>
  <c r="O14" i="14" s="1"/>
  <c r="Q14" i="14"/>
  <c r="L14" i="14" s="1" a="1"/>
  <c r="L14" i="14" s="1"/>
  <c r="S14" i="14"/>
  <c r="P15" i="14"/>
  <c r="O15" i="14" s="1"/>
  <c r="Q15" i="14"/>
  <c r="R15" i="14" s="1" a="1"/>
  <c r="R15" i="14" s="1"/>
  <c r="S15" i="14"/>
  <c r="P16" i="14"/>
  <c r="O16" i="14" s="1"/>
  <c r="Q16" i="14"/>
  <c r="L16" i="14" s="1" a="1"/>
  <c r="L16" i="14" s="1"/>
  <c r="S16" i="14"/>
  <c r="P17" i="14"/>
  <c r="O17" i="14" s="1"/>
  <c r="Q17" i="14"/>
  <c r="R17" i="14" s="1" a="1"/>
  <c r="R17" i="14" s="1"/>
  <c r="S17" i="14"/>
  <c r="P18" i="14"/>
  <c r="O18" i="14" s="1"/>
  <c r="Q18" i="14"/>
  <c r="S18" i="14"/>
  <c r="P19" i="14"/>
  <c r="O19" i="14" s="1"/>
  <c r="Q19" i="14"/>
  <c r="L19" i="14" s="1" a="1"/>
  <c r="L19" i="14" s="1"/>
  <c r="S19" i="14"/>
  <c r="P20" i="14"/>
  <c r="O20" i="14" s="1"/>
  <c r="Q20" i="14"/>
  <c r="S20" i="14"/>
  <c r="P21" i="14"/>
  <c r="O21" i="14" s="1"/>
  <c r="Q21" i="14"/>
  <c r="R21" i="14" s="1" a="1"/>
  <c r="R21" i="14" s="1"/>
  <c r="S21" i="14"/>
  <c r="P22" i="14"/>
  <c r="O22" i="14" s="1"/>
  <c r="Q22" i="14"/>
  <c r="S22" i="14"/>
  <c r="P23" i="14"/>
  <c r="O23" i="14" s="1"/>
  <c r="Q23" i="14"/>
  <c r="R23" i="14" s="1" a="1"/>
  <c r="R23" i="14" s="1"/>
  <c r="S23" i="14"/>
  <c r="P24" i="14"/>
  <c r="O24" i="14" s="1"/>
  <c r="Q24" i="14"/>
  <c r="S24" i="14"/>
  <c r="P25" i="14"/>
  <c r="O25" i="14" s="1"/>
  <c r="Q25" i="14"/>
  <c r="R25" i="14" s="1" a="1"/>
  <c r="R25" i="14" s="1"/>
  <c r="S25" i="14"/>
  <c r="R11" i="14" l="1" a="1"/>
  <c r="R11" i="14" s="1"/>
  <c r="L17" i="14" a="1"/>
  <c r="L17" i="14" s="1"/>
  <c r="R19" i="14" a="1"/>
  <c r="R19" i="14" s="1"/>
  <c r="L25" i="14" a="1"/>
  <c r="L25" i="14" s="1"/>
  <c r="L23" i="14" a="1"/>
  <c r="L23" i="14" s="1"/>
  <c r="L15" i="14" a="1"/>
  <c r="L15" i="14" s="1"/>
  <c r="L21" i="14" a="1"/>
  <c r="L21" i="14" s="1"/>
  <c r="L13" i="14" a="1"/>
  <c r="L13" i="14" s="1"/>
  <c r="L24" i="14" a="1"/>
  <c r="L24" i="14" s="1"/>
  <c r="R24" i="14" a="1"/>
  <c r="R24" i="14" s="1"/>
  <c r="L22" i="14" a="1"/>
  <c r="L22" i="14" s="1"/>
  <c r="R22" i="14" a="1"/>
  <c r="R22" i="14" s="1"/>
  <c r="L20" i="14" a="1"/>
  <c r="L20" i="14" s="1"/>
  <c r="R20" i="14" a="1"/>
  <c r="R20" i="14" s="1"/>
  <c r="L18" i="14" a="1"/>
  <c r="L18" i="14" s="1"/>
  <c r="R18" i="14" a="1"/>
  <c r="R18" i="14" s="1"/>
  <c r="N25" i="14"/>
  <c r="M25" i="14" s="1" a="1"/>
  <c r="M25" i="14" s="1"/>
  <c r="N23" i="14"/>
  <c r="M23" i="14" s="1" a="1"/>
  <c r="M23" i="14" s="1"/>
  <c r="N21" i="14"/>
  <c r="M21" i="14" s="1" a="1"/>
  <c r="M21" i="14" s="1"/>
  <c r="N19" i="14"/>
  <c r="M19" i="14" s="1" a="1"/>
  <c r="M19" i="14" s="1"/>
  <c r="N17" i="14"/>
  <c r="M17" i="14" s="1" a="1"/>
  <c r="M17" i="14" s="1"/>
  <c r="N15" i="14"/>
  <c r="M15" i="14" s="1" a="1"/>
  <c r="M15" i="14" s="1"/>
  <c r="N13" i="14"/>
  <c r="M13" i="14" s="1" a="1"/>
  <c r="M13" i="14" s="1"/>
  <c r="N11" i="14"/>
  <c r="M11" i="14" s="1" a="1"/>
  <c r="M11" i="14" s="1"/>
  <c r="N24" i="14"/>
  <c r="M24" i="14" s="1" a="1"/>
  <c r="M24" i="14" s="1"/>
  <c r="N22" i="14"/>
  <c r="M22" i="14" s="1" a="1"/>
  <c r="M22" i="14" s="1"/>
  <c r="N20" i="14"/>
  <c r="M20" i="14" s="1" a="1"/>
  <c r="M20" i="14" s="1"/>
  <c r="N18" i="14"/>
  <c r="M18" i="14" s="1" a="1"/>
  <c r="M18" i="14" s="1"/>
  <c r="R16" i="14" a="1"/>
  <c r="R16" i="14" s="1"/>
  <c r="N16" i="14"/>
  <c r="M16" i="14" s="1" a="1"/>
  <c r="M16" i="14" s="1"/>
  <c r="R14" i="14" a="1"/>
  <c r="R14" i="14" s="1"/>
  <c r="N14" i="14"/>
  <c r="M14" i="14" s="1" a="1"/>
  <c r="M14" i="14" s="1"/>
  <c r="R12" i="14" a="1"/>
  <c r="R12" i="14" s="1"/>
  <c r="N12" i="14"/>
  <c r="M12" i="14" s="1" a="1"/>
  <c r="M12" i="14" s="1"/>
  <c r="N10" i="14"/>
  <c r="M10" i="14" s="1" a="1"/>
  <c r="M10" i="14" s="1"/>
  <c r="A33" i="17" l="1"/>
  <c r="H93" i="3"/>
  <c r="A93" i="3" s="1"/>
  <c r="A18" i="17"/>
  <c r="A19" i="17"/>
  <c r="A20" i="17"/>
  <c r="A21" i="17"/>
  <c r="A22" i="17"/>
  <c r="A23" i="17"/>
  <c r="A24" i="17"/>
  <c r="A25" i="17"/>
  <c r="A26" i="17"/>
  <c r="A27" i="17"/>
  <c r="A28" i="17"/>
  <c r="A29" i="17"/>
  <c r="H82" i="3"/>
  <c r="A82" i="3" s="1"/>
  <c r="H83" i="3"/>
  <c r="A83" i="3" s="1"/>
  <c r="H84" i="3"/>
  <c r="A84" i="3" s="1"/>
  <c r="H85" i="3"/>
  <c r="A85" i="3" s="1"/>
  <c r="H86" i="3"/>
  <c r="A86" i="3" s="1"/>
  <c r="H87" i="3"/>
  <c r="A87" i="3" s="1"/>
  <c r="H88" i="3"/>
  <c r="A88" i="3" s="1"/>
  <c r="H89" i="3"/>
  <c r="A89" i="3" s="1"/>
  <c r="H90" i="3"/>
  <c r="A90" i="3" s="1"/>
  <c r="H91" i="3"/>
  <c r="A91" i="3" s="1"/>
  <c r="H92" i="3"/>
  <c r="A92" i="3" s="1"/>
  <c r="H94" i="3"/>
  <c r="A94" i="3" s="1"/>
  <c r="G93" i="3" l="1"/>
  <c r="B93" i="3"/>
  <c r="G85" i="3"/>
  <c r="G94" i="3"/>
  <c r="G90" i="3"/>
  <c r="G91" i="3"/>
  <c r="G87" i="3"/>
  <c r="G88" i="3"/>
  <c r="G84" i="3"/>
  <c r="B91" i="3"/>
  <c r="B87" i="3"/>
  <c r="B83" i="3"/>
  <c r="B94" i="3"/>
  <c r="B89" i="3"/>
  <c r="B85" i="3"/>
  <c r="B92" i="3"/>
  <c r="B88" i="3"/>
  <c r="B84" i="3"/>
  <c r="B90" i="3"/>
  <c r="B86" i="3"/>
  <c r="B82" i="3"/>
  <c r="G27" i="30" a="1"/>
  <c r="G27" i="30" s="1"/>
  <c r="G28" i="30" a="1"/>
  <c r="G28" i="30" s="1"/>
  <c r="G29" i="30" a="1"/>
  <c r="G29" i="30" s="1"/>
  <c r="G30" i="30" a="1"/>
  <c r="G30" i="30" s="1"/>
  <c r="G31" i="30" a="1"/>
  <c r="G31" i="30" s="1"/>
  <c r="G32" i="30" a="1"/>
  <c r="G32" i="30" s="1"/>
  <c r="G33" i="30" a="1"/>
  <c r="G33" i="30" s="1"/>
  <c r="G34" i="30" a="1"/>
  <c r="G34" i="30" s="1"/>
  <c r="G35" i="30" a="1"/>
  <c r="G35" i="30" s="1"/>
  <c r="G36" i="30" a="1"/>
  <c r="G36" i="30" s="1"/>
  <c r="G37" i="30" a="1"/>
  <c r="G37" i="30" s="1"/>
  <c r="G38" i="30" a="1"/>
  <c r="G38" i="30" s="1"/>
  <c r="G39" i="30" a="1"/>
  <c r="G39" i="30" s="1"/>
  <c r="G40" i="30" a="1"/>
  <c r="G40" i="30" s="1"/>
  <c r="G41" i="30" a="1"/>
  <c r="G41" i="30" s="1"/>
  <c r="G42" i="30" a="1"/>
  <c r="G42" i="30" s="1"/>
  <c r="G43" i="30" a="1"/>
  <c r="G43" i="30" s="1"/>
  <c r="G44" i="30" a="1"/>
  <c r="G44" i="30" s="1"/>
  <c r="H2" i="28" l="1"/>
  <c r="G2" i="28"/>
  <c r="C2" i="28"/>
  <c r="B52" i="17" l="1"/>
  <c r="S42" i="14" l="1"/>
  <c r="S43" i="14"/>
  <c r="S44" i="14"/>
  <c r="S45" i="14"/>
  <c r="S46" i="14"/>
  <c r="S31" i="14"/>
  <c r="S47" i="14"/>
  <c r="S48" i="14"/>
  <c r="S49" i="14"/>
  <c r="S28" i="14"/>
  <c r="S29" i="14"/>
  <c r="S50" i="14"/>
  <c r="S9" i="14"/>
  <c r="S26" i="14"/>
  <c r="S37" i="14"/>
  <c r="S51" i="14"/>
  <c r="S52" i="14"/>
  <c r="S7" i="14"/>
  <c r="S5" i="14"/>
  <c r="S6" i="14"/>
  <c r="S27" i="14"/>
  <c r="S30" i="14"/>
  <c r="S36" i="14"/>
  <c r="S38" i="14"/>
  <c r="S39" i="14"/>
  <c r="S40" i="14"/>
  <c r="S8" i="14"/>
  <c r="S41" i="14"/>
  <c r="S53" i="14"/>
  <c r="S54" i="14"/>
  <c r="S55" i="14"/>
  <c r="S56" i="14"/>
  <c r="S57" i="14"/>
  <c r="S58" i="14"/>
  <c r="S59" i="14"/>
  <c r="S60" i="14"/>
  <c r="S61" i="14"/>
  <c r="S62" i="14"/>
  <c r="S63" i="14"/>
  <c r="S64" i="14"/>
  <c r="S65" i="14"/>
  <c r="S66" i="14"/>
  <c r="S67" i="14"/>
  <c r="S68" i="14"/>
  <c r="S69" i="14"/>
  <c r="S70" i="14"/>
  <c r="S71" i="14"/>
  <c r="S72" i="14"/>
  <c r="S73" i="14"/>
  <c r="S74" i="14"/>
  <c r="S75" i="14"/>
  <c r="S76" i="14"/>
  <c r="S77" i="14"/>
  <c r="S78" i="14"/>
  <c r="S79" i="14"/>
  <c r="S80" i="14"/>
  <c r="S81" i="14"/>
  <c r="S82" i="14"/>
  <c r="S83" i="14"/>
  <c r="R1" i="14"/>
  <c r="R2" i="14"/>
  <c r="R32" i="14" l="1" a="1"/>
  <c r="R32" i="14" s="1"/>
  <c r="R33" i="14" a="1"/>
  <c r="R33" i="14" s="1"/>
  <c r="R10" i="14" a="1"/>
  <c r="R10" i="14" s="1"/>
  <c r="H28" i="31"/>
  <c r="G28" i="31"/>
  <c r="F28" i="31"/>
  <c r="E28" i="31"/>
  <c r="D28" i="31"/>
  <c r="C28" i="31"/>
  <c r="H27" i="31"/>
  <c r="G27" i="31"/>
  <c r="F27" i="31"/>
  <c r="E27" i="31"/>
  <c r="D27" i="31"/>
  <c r="C27" i="31"/>
  <c r="C26" i="31" s="1" a="1"/>
  <c r="C26" i="31" s="1"/>
  <c r="F2" i="29"/>
  <c r="C12" i="31"/>
  <c r="C11" i="31"/>
  <c r="C10" i="31"/>
  <c r="C9" i="31"/>
  <c r="C8" i="31"/>
  <c r="E31" i="29" l="1"/>
  <c r="E18" i="29"/>
  <c r="E26" i="31" a="1"/>
  <c r="E26" i="31" s="1"/>
  <c r="F26" i="31" a="1"/>
  <c r="F26" i="31" s="1"/>
  <c r="F1" i="29"/>
  <c r="F20" i="29" s="1"/>
  <c r="G2" i="29"/>
  <c r="C20" i="31"/>
  <c r="C21" i="31"/>
  <c r="F31" i="29" l="1"/>
  <c r="F30" i="29"/>
  <c r="F16" i="29"/>
  <c r="F18" i="29"/>
  <c r="F19" i="29"/>
  <c r="F25" i="29"/>
  <c r="F9" i="29"/>
  <c r="F28" i="29"/>
  <c r="F12" i="29"/>
  <c r="F22" i="29"/>
  <c r="F29" i="29"/>
  <c r="F13" i="29"/>
  <c r="F27" i="29"/>
  <c r="F14" i="29"/>
  <c r="F11" i="29"/>
  <c r="F21" i="29"/>
  <c r="F24" i="29"/>
  <c r="F15" i="29"/>
  <c r="F26" i="29"/>
  <c r="F10" i="29"/>
  <c r="F17" i="29"/>
  <c r="F23" i="29"/>
  <c r="F7" i="29"/>
  <c r="F8" i="29"/>
  <c r="F6" i="29"/>
  <c r="G1" i="29"/>
  <c r="G19" i="29" s="1"/>
  <c r="H2" i="29"/>
  <c r="G31" i="29" l="1"/>
  <c r="G30" i="29"/>
  <c r="G21" i="29"/>
  <c r="G18" i="29"/>
  <c r="G17" i="29"/>
  <c r="G10" i="29"/>
  <c r="G16" i="29"/>
  <c r="G27" i="29"/>
  <c r="G11" i="29"/>
  <c r="G22" i="29"/>
  <c r="G20" i="29"/>
  <c r="G14" i="29"/>
  <c r="G15" i="29"/>
  <c r="G29" i="29"/>
  <c r="G13" i="29"/>
  <c r="G28" i="29"/>
  <c r="G12" i="29"/>
  <c r="G23" i="29"/>
  <c r="G25" i="29"/>
  <c r="G9" i="29"/>
  <c r="G24" i="29"/>
  <c r="G26" i="29"/>
  <c r="G8" i="29"/>
  <c r="G7" i="29"/>
  <c r="H1" i="29"/>
  <c r="H18" i="29" s="1"/>
  <c r="I2" i="29"/>
  <c r="C40" i="30" a="1"/>
  <c r="C40" i="30" s="1"/>
  <c r="F40" i="30" a="1"/>
  <c r="F40" i="30" s="1"/>
  <c r="H40" i="30" a="1"/>
  <c r="H40" i="30" s="1"/>
  <c r="E40" i="30" s="1"/>
  <c r="C41" i="30" a="1"/>
  <c r="C41" i="30" s="1"/>
  <c r="F41" i="30" a="1"/>
  <c r="F41" i="30" s="1"/>
  <c r="H41" i="30" a="1"/>
  <c r="H41" i="30" s="1"/>
  <c r="E41" i="30" s="1"/>
  <c r="C42" i="30" a="1"/>
  <c r="C42" i="30" s="1"/>
  <c r="F42" i="30" a="1"/>
  <c r="F42" i="30" s="1"/>
  <c r="H42" i="30" a="1"/>
  <c r="H42" i="30" s="1"/>
  <c r="E42" i="30" s="1"/>
  <c r="C43" i="30" a="1"/>
  <c r="C43" i="30" s="1"/>
  <c r="F43" i="30" a="1"/>
  <c r="F43" i="30" s="1"/>
  <c r="H43" i="30" a="1"/>
  <c r="H43" i="30" s="1"/>
  <c r="E43" i="30" s="1"/>
  <c r="C44" i="30" a="1"/>
  <c r="C44" i="30" s="1"/>
  <c r="F44" i="30" a="1"/>
  <c r="F44" i="30" s="1"/>
  <c r="H44" i="30" a="1"/>
  <c r="H44" i="30" s="1"/>
  <c r="E44" i="30" s="1"/>
  <c r="F39" i="30" a="1"/>
  <c r="F39" i="30" s="1"/>
  <c r="F38" i="30" a="1"/>
  <c r="F38" i="30" s="1"/>
  <c r="F37" i="30" a="1"/>
  <c r="F37" i="30" s="1"/>
  <c r="F36" i="30" a="1"/>
  <c r="F36" i="30" s="1"/>
  <c r="F35" i="30" a="1"/>
  <c r="F35" i="30" s="1"/>
  <c r="F34" i="30" a="1"/>
  <c r="F34" i="30" s="1"/>
  <c r="F33" i="30" a="1"/>
  <c r="F33" i="30" s="1"/>
  <c r="F32" i="30" a="1"/>
  <c r="F32" i="30" s="1"/>
  <c r="F31" i="30" a="1"/>
  <c r="F31" i="30" s="1"/>
  <c r="F30" i="30" a="1"/>
  <c r="F30" i="30" s="1"/>
  <c r="F29" i="30" a="1"/>
  <c r="F29" i="30" s="1"/>
  <c r="F28" i="30" a="1"/>
  <c r="F28" i="30" s="1"/>
  <c r="F27" i="30" a="1"/>
  <c r="F27" i="30" s="1"/>
  <c r="H39" i="30" a="1"/>
  <c r="H39" i="30" s="1"/>
  <c r="H38" i="30" a="1"/>
  <c r="H38" i="30" s="1"/>
  <c r="H37" i="30" a="1"/>
  <c r="H37" i="30" s="1"/>
  <c r="H36" i="30" a="1"/>
  <c r="H36" i="30" s="1"/>
  <c r="H35" i="30" a="1"/>
  <c r="H35" i="30" s="1"/>
  <c r="H34" i="30" a="1"/>
  <c r="H34" i="30" s="1"/>
  <c r="H33" i="30" a="1"/>
  <c r="H33" i="30" s="1"/>
  <c r="H32" i="30" a="1"/>
  <c r="H32" i="30" s="1"/>
  <c r="H31" i="30" a="1"/>
  <c r="H31" i="30" s="1"/>
  <c r="H30" i="30" a="1"/>
  <c r="H30" i="30" s="1"/>
  <c r="H29" i="30" a="1"/>
  <c r="H29" i="30" s="1"/>
  <c r="H28" i="30" a="1"/>
  <c r="H28" i="30" s="1"/>
  <c r="H27" i="30" a="1"/>
  <c r="H27" i="30" s="1"/>
  <c r="C39" i="30" a="1"/>
  <c r="C39" i="30" s="1"/>
  <c r="C38" i="30" a="1"/>
  <c r="C38" i="30" s="1"/>
  <c r="C37" i="30" a="1"/>
  <c r="C37" i="30" s="1"/>
  <c r="C36" i="30" a="1"/>
  <c r="C36" i="30" s="1"/>
  <c r="C35" i="30" a="1"/>
  <c r="C35" i="30" s="1"/>
  <c r="C34" i="30" a="1"/>
  <c r="C34" i="30" s="1"/>
  <c r="C33" i="30" a="1"/>
  <c r="C33" i="30" s="1"/>
  <c r="C32" i="30" a="1"/>
  <c r="C32" i="30" s="1"/>
  <c r="C31" i="30" a="1"/>
  <c r="C31" i="30" s="1"/>
  <c r="C30" i="30" a="1"/>
  <c r="C30" i="30" s="1"/>
  <c r="C29" i="30" a="1"/>
  <c r="C29" i="30" s="1"/>
  <c r="C28" i="30" a="1"/>
  <c r="C28" i="30" s="1"/>
  <c r="C27" i="30" a="1"/>
  <c r="C27" i="30" s="1"/>
  <c r="C26" i="30" a="1"/>
  <c r="C26" i="30" s="1"/>
  <c r="C25" i="30" a="1"/>
  <c r="C25" i="30" s="1"/>
  <c r="H16" i="30"/>
  <c r="C21" i="30" s="1"/>
  <c r="D17" i="30"/>
  <c r="H31" i="29" l="1"/>
  <c r="H30" i="29"/>
  <c r="H24" i="29"/>
  <c r="H14" i="29"/>
  <c r="H29" i="29"/>
  <c r="H19" i="29"/>
  <c r="H17" i="29"/>
  <c r="H21" i="29"/>
  <c r="H20" i="29"/>
  <c r="H13" i="29"/>
  <c r="H15" i="29"/>
  <c r="H26" i="29"/>
  <c r="H10" i="29"/>
  <c r="H9" i="29"/>
  <c r="H16" i="29"/>
  <c r="H27" i="29"/>
  <c r="H11" i="29"/>
  <c r="H22" i="29"/>
  <c r="H28" i="29"/>
  <c r="H12" i="29"/>
  <c r="H23" i="29"/>
  <c r="H25" i="29"/>
  <c r="H6" i="29"/>
  <c r="H7" i="29"/>
  <c r="J2" i="29"/>
  <c r="I1" i="29"/>
  <c r="I7" i="29" s="1"/>
  <c r="D22" i="30"/>
  <c r="C20" i="30"/>
  <c r="C12" i="30"/>
  <c r="C11" i="30"/>
  <c r="C10" i="30"/>
  <c r="C9" i="30"/>
  <c r="C8" i="30"/>
  <c r="C52" i="30"/>
  <c r="C51" i="30"/>
  <c r="C50" i="30"/>
  <c r="C49" i="30"/>
  <c r="C48" i="30"/>
  <c r="E39" i="30"/>
  <c r="E38" i="30"/>
  <c r="E37" i="30"/>
  <c r="E36" i="30"/>
  <c r="E35" i="30"/>
  <c r="E34" i="30"/>
  <c r="E33" i="30"/>
  <c r="E32" i="30"/>
  <c r="E31" i="30"/>
  <c r="E30" i="30"/>
  <c r="E29" i="30"/>
  <c r="E28" i="30"/>
  <c r="A1" i="29"/>
  <c r="I31" i="29" l="1"/>
  <c r="I30" i="29"/>
  <c r="I23" i="29"/>
  <c r="I28" i="29"/>
  <c r="I18" i="29"/>
  <c r="I29" i="29"/>
  <c r="I13" i="29"/>
  <c r="I24" i="29"/>
  <c r="I19" i="29"/>
  <c r="I20" i="29"/>
  <c r="I14" i="29"/>
  <c r="I25" i="29"/>
  <c r="I9" i="29"/>
  <c r="I12" i="29"/>
  <c r="I15" i="29"/>
  <c r="I26" i="29"/>
  <c r="I10" i="29"/>
  <c r="I21" i="29"/>
  <c r="I27" i="29"/>
  <c r="I11" i="29"/>
  <c r="I22" i="29"/>
  <c r="I16" i="29"/>
  <c r="I17" i="29"/>
  <c r="I8" i="29"/>
  <c r="K2" i="29"/>
  <c r="K31" i="29" s="1"/>
  <c r="J1" i="29"/>
  <c r="J24" i="29" s="1"/>
  <c r="E27" i="30"/>
  <c r="J31" i="29" l="1"/>
  <c r="J30" i="29"/>
  <c r="K18" i="29"/>
  <c r="J26" i="29"/>
  <c r="J10" i="29"/>
  <c r="J21" i="29"/>
  <c r="J19" i="29"/>
  <c r="J20" i="29"/>
  <c r="J22" i="29"/>
  <c r="J23" i="29"/>
  <c r="J17" i="29"/>
  <c r="J11" i="29"/>
  <c r="J16" i="29"/>
  <c r="J27" i="29"/>
  <c r="J18" i="29"/>
  <c r="J29" i="29"/>
  <c r="J13" i="29"/>
  <c r="J28" i="29"/>
  <c r="J12" i="29"/>
  <c r="J15" i="29"/>
  <c r="J14" i="29"/>
  <c r="J25" i="29"/>
  <c r="J9" i="29"/>
  <c r="J7" i="29"/>
  <c r="J6" i="29"/>
  <c r="K1" i="29"/>
  <c r="D18" i="13"/>
  <c r="D16" i="13"/>
  <c r="C93" i="3" s="1"/>
  <c r="C82" i="3" l="1"/>
  <c r="C86" i="3"/>
  <c r="C90" i="3"/>
  <c r="C83" i="3"/>
  <c r="C87" i="3"/>
  <c r="C91" i="3"/>
  <c r="C84" i="3"/>
  <c r="C88" i="3"/>
  <c r="C92" i="3"/>
  <c r="C85" i="3"/>
  <c r="C89" i="3"/>
  <c r="C94" i="3"/>
  <c r="C4" i="27"/>
  <c r="P71" i="14" l="1"/>
  <c r="O71" i="14" s="1"/>
  <c r="Q71" i="14"/>
  <c r="R71" i="14" s="1" a="1"/>
  <c r="R71" i="14" s="1"/>
  <c r="P81" i="14"/>
  <c r="O81" i="14" s="1"/>
  <c r="G26" i="30" s="1" a="1"/>
  <c r="G26" i="30" s="1"/>
  <c r="Q81" i="14"/>
  <c r="O298" i="2"/>
  <c r="N298" i="2" s="1"/>
  <c r="P298" i="2"/>
  <c r="O299" i="2"/>
  <c r="N299" i="2" s="1"/>
  <c r="P299" i="2"/>
  <c r="O87" i="2"/>
  <c r="N87" i="2" s="1"/>
  <c r="O110" i="2"/>
  <c r="N110" i="2" s="1"/>
  <c r="O132" i="2"/>
  <c r="N132" i="2" s="1"/>
  <c r="O158" i="2"/>
  <c r="N158" i="2" s="1"/>
  <c r="O183" i="2"/>
  <c r="N183" i="2" s="1"/>
  <c r="O206" i="2"/>
  <c r="N206" i="2" s="1"/>
  <c r="O226" i="2"/>
  <c r="N226" i="2" s="1"/>
  <c r="O250" i="2"/>
  <c r="N250" i="2" s="1"/>
  <c r="O271" i="2"/>
  <c r="N271" i="2" s="1"/>
  <c r="P87" i="2"/>
  <c r="P110" i="2"/>
  <c r="P132" i="2"/>
  <c r="P158" i="2"/>
  <c r="P183" i="2"/>
  <c r="P206" i="2"/>
  <c r="P226" i="2"/>
  <c r="P250" i="2"/>
  <c r="P271" i="2"/>
  <c r="O64" i="2"/>
  <c r="N64" i="2" s="1"/>
  <c r="P64" i="2"/>
  <c r="O63" i="2"/>
  <c r="N63" i="2" s="1"/>
  <c r="P63" i="2"/>
  <c r="O86" i="2"/>
  <c r="N86" i="2" s="1"/>
  <c r="P86" i="2"/>
  <c r="O109" i="2"/>
  <c r="N109" i="2" s="1"/>
  <c r="P109" i="2"/>
  <c r="O131" i="2"/>
  <c r="N131" i="2" s="1"/>
  <c r="P131" i="2"/>
  <c r="O157" i="2"/>
  <c r="N157" i="2" s="1"/>
  <c r="P157" i="2"/>
  <c r="O182" i="2"/>
  <c r="N182" i="2" s="1"/>
  <c r="P182" i="2"/>
  <c r="O205" i="2"/>
  <c r="N205" i="2" s="1"/>
  <c r="P205" i="2"/>
  <c r="O225" i="2"/>
  <c r="N225" i="2" s="1"/>
  <c r="P225" i="2"/>
  <c r="O249" i="2"/>
  <c r="N249" i="2" s="1"/>
  <c r="P249" i="2"/>
  <c r="O270" i="2"/>
  <c r="N270" i="2" s="1"/>
  <c r="P270" i="2"/>
  <c r="O37" i="2"/>
  <c r="N37" i="2" s="1"/>
  <c r="O38" i="2"/>
  <c r="N38" i="2" s="1"/>
  <c r="P37" i="2"/>
  <c r="P38" i="2"/>
  <c r="O58" i="2"/>
  <c r="N58" i="2" s="1"/>
  <c r="P58" i="2"/>
  <c r="O59" i="2"/>
  <c r="N59" i="2" s="1"/>
  <c r="P59" i="2"/>
  <c r="O31" i="2"/>
  <c r="N31" i="2" s="1"/>
  <c r="P31" i="2"/>
  <c r="P73" i="14"/>
  <c r="O73" i="14" s="1"/>
  <c r="Q73" i="14"/>
  <c r="M38" i="2" l="1"/>
  <c r="L38" i="2" s="1" a="1"/>
  <c r="L38" i="2" s="1"/>
  <c r="M250" i="2"/>
  <c r="L250" i="2" s="1" a="1"/>
  <c r="L250" i="2" s="1"/>
  <c r="M59" i="2"/>
  <c r="L59" i="2" s="1" a="1"/>
  <c r="L59" i="2" s="1"/>
  <c r="M270" i="2"/>
  <c r="L270" i="2" s="1" a="1"/>
  <c r="L270" i="2" s="1"/>
  <c r="M182" i="2"/>
  <c r="L182" i="2" s="1" a="1"/>
  <c r="L182" i="2" s="1"/>
  <c r="M86" i="2"/>
  <c r="L86" i="2" s="1" a="1"/>
  <c r="L86" i="2" s="1"/>
  <c r="M226" i="2"/>
  <c r="L226" i="2" s="1" a="1"/>
  <c r="L226" i="2" s="1"/>
  <c r="M299" i="2"/>
  <c r="L299" i="2" s="1" a="1"/>
  <c r="L299" i="2" s="1"/>
  <c r="M132" i="2"/>
  <c r="L132" i="2" s="1" a="1"/>
  <c r="L132" i="2" s="1"/>
  <c r="M206" i="2"/>
  <c r="L206" i="2" s="1" a="1"/>
  <c r="L206" i="2" s="1"/>
  <c r="M131" i="2"/>
  <c r="L131" i="2" s="1" a="1"/>
  <c r="L131" i="2" s="1"/>
  <c r="M58" i="2"/>
  <c r="L58" i="2" s="1" a="1"/>
  <c r="L58" i="2" s="1"/>
  <c r="M249" i="2"/>
  <c r="L249" i="2" s="1" a="1"/>
  <c r="L249" i="2" s="1"/>
  <c r="M157" i="2"/>
  <c r="L157" i="2" s="1" a="1"/>
  <c r="L157" i="2" s="1"/>
  <c r="M63" i="2"/>
  <c r="L63" i="2" s="1" a="1"/>
  <c r="L63" i="2" s="1"/>
  <c r="M183" i="2"/>
  <c r="L183" i="2" s="1" a="1"/>
  <c r="L183" i="2" s="1"/>
  <c r="M298" i="2"/>
  <c r="L298" i="2" s="1" a="1"/>
  <c r="L298" i="2" s="1"/>
  <c r="M158" i="2"/>
  <c r="L158" i="2" s="1" a="1"/>
  <c r="L158" i="2" s="1"/>
  <c r="M110" i="2"/>
  <c r="L110" i="2" s="1" a="1"/>
  <c r="L110" i="2" s="1"/>
  <c r="M225" i="2"/>
  <c r="L225" i="2" s="1" a="1"/>
  <c r="L225" i="2" s="1"/>
  <c r="M64" i="2"/>
  <c r="L64" i="2" s="1" a="1"/>
  <c r="L64" i="2" s="1"/>
  <c r="M31" i="2"/>
  <c r="L31" i="2" s="1" a="1"/>
  <c r="L31" i="2" s="1"/>
  <c r="M37" i="2"/>
  <c r="L37" i="2" s="1" a="1"/>
  <c r="L37" i="2" s="1"/>
  <c r="M205" i="2"/>
  <c r="L205" i="2" s="1" a="1"/>
  <c r="L205" i="2" s="1"/>
  <c r="M109" i="2"/>
  <c r="L109" i="2" s="1" a="1"/>
  <c r="L109" i="2" s="1"/>
  <c r="M271" i="2"/>
  <c r="L271" i="2" s="1" a="1"/>
  <c r="L271" i="2" s="1"/>
  <c r="M87" i="2"/>
  <c r="L87" i="2" s="1" a="1"/>
  <c r="L87" i="2" s="1"/>
  <c r="N81" i="14"/>
  <c r="N73" i="14"/>
  <c r="N71" i="14"/>
  <c r="R81" i="14" a="1"/>
  <c r="R81" i="14" s="1"/>
  <c r="L81" i="14" a="1"/>
  <c r="L81" i="14" s="1"/>
  <c r="R73" i="14" a="1"/>
  <c r="R73" i="14" s="1"/>
  <c r="L73" i="14" a="1"/>
  <c r="L73" i="14" s="1"/>
  <c r="P76" i="14"/>
  <c r="O76" i="14" s="1"/>
  <c r="Q76" i="14"/>
  <c r="P67" i="14"/>
  <c r="O67" i="14" s="1"/>
  <c r="Q67" i="14"/>
  <c r="R67" i="14" s="1" a="1"/>
  <c r="R67" i="14" s="1"/>
  <c r="O30" i="2"/>
  <c r="N30" i="2" s="1"/>
  <c r="O53" i="2"/>
  <c r="N53" i="2" s="1"/>
  <c r="O79" i="2"/>
  <c r="N79" i="2" s="1"/>
  <c r="O102" i="2"/>
  <c r="N102" i="2" s="1"/>
  <c r="O125" i="2"/>
  <c r="N125" i="2" s="1"/>
  <c r="O149" i="2"/>
  <c r="N149" i="2" s="1"/>
  <c r="O174" i="2"/>
  <c r="N174" i="2" s="1"/>
  <c r="O197" i="2"/>
  <c r="N197" i="2" s="1"/>
  <c r="O219" i="2"/>
  <c r="N219" i="2" s="1"/>
  <c r="O243" i="2"/>
  <c r="N243" i="2" s="1"/>
  <c r="O264" i="2"/>
  <c r="N264" i="2" s="1"/>
  <c r="O287" i="2"/>
  <c r="N287" i="2" s="1"/>
  <c r="P30" i="2"/>
  <c r="P53" i="2"/>
  <c r="P79" i="2"/>
  <c r="P102" i="2"/>
  <c r="P125" i="2"/>
  <c r="P149" i="2"/>
  <c r="P174" i="2"/>
  <c r="P197" i="2"/>
  <c r="P219" i="2"/>
  <c r="P243" i="2"/>
  <c r="P264" i="2"/>
  <c r="P287" i="2"/>
  <c r="O29" i="2"/>
  <c r="N29" i="2" s="1"/>
  <c r="O52" i="2"/>
  <c r="N52" i="2" s="1"/>
  <c r="O78" i="2"/>
  <c r="N78" i="2" s="1"/>
  <c r="O101" i="2"/>
  <c r="N101" i="2" s="1"/>
  <c r="O124" i="2"/>
  <c r="N124" i="2" s="1"/>
  <c r="O148" i="2"/>
  <c r="N148" i="2" s="1"/>
  <c r="O173" i="2"/>
  <c r="N173" i="2" s="1"/>
  <c r="O196" i="2"/>
  <c r="N196" i="2" s="1"/>
  <c r="O218" i="2"/>
  <c r="N218" i="2" s="1"/>
  <c r="O242" i="2"/>
  <c r="N242" i="2" s="1"/>
  <c r="O263" i="2"/>
  <c r="N263" i="2" s="1"/>
  <c r="O286" i="2"/>
  <c r="N286" i="2" s="1"/>
  <c r="P29" i="2"/>
  <c r="P52" i="2"/>
  <c r="P78" i="2"/>
  <c r="P101" i="2"/>
  <c r="P124" i="2"/>
  <c r="P148" i="2"/>
  <c r="P173" i="2"/>
  <c r="P196" i="2"/>
  <c r="P218" i="2"/>
  <c r="P242" i="2"/>
  <c r="P263" i="2"/>
  <c r="P286" i="2"/>
  <c r="O28" i="2"/>
  <c r="N28" i="2" s="1"/>
  <c r="O51" i="2"/>
  <c r="N51" i="2" s="1"/>
  <c r="O77" i="2"/>
  <c r="N77" i="2" s="1"/>
  <c r="O100" i="2"/>
  <c r="N100" i="2" s="1"/>
  <c r="O123" i="2"/>
  <c r="N123" i="2" s="1"/>
  <c r="O147" i="2"/>
  <c r="N147" i="2" s="1"/>
  <c r="O172" i="2"/>
  <c r="N172" i="2" s="1"/>
  <c r="O195" i="2"/>
  <c r="N195" i="2" s="1"/>
  <c r="O217" i="2"/>
  <c r="N217" i="2" s="1"/>
  <c r="O241" i="2"/>
  <c r="N241" i="2" s="1"/>
  <c r="O262" i="2"/>
  <c r="N262" i="2" s="1"/>
  <c r="O285" i="2"/>
  <c r="N285" i="2" s="1"/>
  <c r="P28" i="2"/>
  <c r="P51" i="2"/>
  <c r="P77" i="2"/>
  <c r="P100" i="2"/>
  <c r="P123" i="2"/>
  <c r="P147" i="2"/>
  <c r="P172" i="2"/>
  <c r="P195" i="2"/>
  <c r="P217" i="2"/>
  <c r="P241" i="2"/>
  <c r="P262" i="2"/>
  <c r="P285" i="2"/>
  <c r="O295" i="2"/>
  <c r="N295" i="2" s="1"/>
  <c r="P295" i="2"/>
  <c r="O293" i="2"/>
  <c r="N293" i="2" s="1"/>
  <c r="P293" i="2"/>
  <c r="O83" i="2"/>
  <c r="N83" i="2" s="1"/>
  <c r="O105" i="2"/>
  <c r="N105" i="2" s="1"/>
  <c r="O128" i="2"/>
  <c r="N128" i="2" s="1"/>
  <c r="O154" i="2"/>
  <c r="N154" i="2" s="1"/>
  <c r="O177" i="2"/>
  <c r="N177" i="2" s="1"/>
  <c r="O201" i="2"/>
  <c r="N201" i="2" s="1"/>
  <c r="O222" i="2"/>
  <c r="N222" i="2" s="1"/>
  <c r="O246" i="2"/>
  <c r="N246" i="2" s="1"/>
  <c r="O267" i="2"/>
  <c r="N267" i="2" s="1"/>
  <c r="O300" i="2"/>
  <c r="N300" i="2" s="1"/>
  <c r="P83" i="2"/>
  <c r="P105" i="2"/>
  <c r="P128" i="2"/>
  <c r="P154" i="2"/>
  <c r="P177" i="2"/>
  <c r="P201" i="2"/>
  <c r="P222" i="2"/>
  <c r="P246" i="2"/>
  <c r="P267" i="2"/>
  <c r="P300" i="2"/>
  <c r="O57" i="2"/>
  <c r="N57" i="2" s="1"/>
  <c r="P57" i="2"/>
  <c r="O34" i="2"/>
  <c r="N34" i="2" s="1"/>
  <c r="P34" i="2"/>
  <c r="P42" i="14"/>
  <c r="O42" i="14" s="1"/>
  <c r="P48" i="14"/>
  <c r="O48" i="14" s="1"/>
  <c r="P9" i="14"/>
  <c r="P7" i="14"/>
  <c r="P36" i="14"/>
  <c r="P41" i="14"/>
  <c r="P59" i="14"/>
  <c r="O59" i="14" s="1"/>
  <c r="P65" i="14"/>
  <c r="O65" i="14" s="1"/>
  <c r="P70" i="14"/>
  <c r="O70" i="14" s="1"/>
  <c r="P78" i="14"/>
  <c r="O78" i="14" s="1"/>
  <c r="Q42" i="14"/>
  <c r="Q48" i="14"/>
  <c r="R48" i="14" s="1" a="1"/>
  <c r="R48" i="14" s="1"/>
  <c r="Q9" i="14"/>
  <c r="R9" i="14" s="1" a="1"/>
  <c r="R9" i="14" s="1"/>
  <c r="Q7" i="14"/>
  <c r="R7" i="14" s="1" a="1"/>
  <c r="R7" i="14" s="1"/>
  <c r="Q36" i="14"/>
  <c r="R36" i="14" s="1" a="1"/>
  <c r="R36" i="14" s="1"/>
  <c r="Q41" i="14"/>
  <c r="R41" i="14" s="1" a="1"/>
  <c r="R41" i="14" s="1"/>
  <c r="Q59" i="14"/>
  <c r="R59" i="14" s="1" a="1"/>
  <c r="R59" i="14" s="1"/>
  <c r="Q65" i="14"/>
  <c r="R65" i="14" s="1" a="1"/>
  <c r="R65" i="14" s="1"/>
  <c r="Q70" i="14"/>
  <c r="R70" i="14" s="1" a="1"/>
  <c r="R70" i="14" s="1"/>
  <c r="Q78" i="14"/>
  <c r="R78" i="14" s="1" a="1"/>
  <c r="R78" i="14" s="1"/>
  <c r="P45" i="14"/>
  <c r="O45" i="14" s="1"/>
  <c r="P49" i="14"/>
  <c r="O49" i="14" s="1"/>
  <c r="P26" i="14"/>
  <c r="P5" i="14"/>
  <c r="P38" i="14"/>
  <c r="O38" i="14" s="1"/>
  <c r="P53" i="14"/>
  <c r="O53" i="14" s="1"/>
  <c r="P61" i="14"/>
  <c r="O61" i="14" s="1"/>
  <c r="P66" i="14"/>
  <c r="O66" i="14" s="1"/>
  <c r="P72" i="14"/>
  <c r="O72" i="14" s="1"/>
  <c r="P79" i="14"/>
  <c r="O79" i="14" s="1"/>
  <c r="Q45" i="14"/>
  <c r="R45" i="14" s="1" a="1"/>
  <c r="R45" i="14" s="1"/>
  <c r="Q49" i="14"/>
  <c r="R49" i="14" s="1" a="1"/>
  <c r="R49" i="14" s="1"/>
  <c r="Q26" i="14"/>
  <c r="R26" i="14" s="1" a="1"/>
  <c r="R26" i="14" s="1"/>
  <c r="Q5" i="14"/>
  <c r="R5" i="14" s="1" a="1"/>
  <c r="R5" i="14" s="1"/>
  <c r="Q38" i="14"/>
  <c r="R38" i="14" s="1" a="1"/>
  <c r="R38" i="14" s="1"/>
  <c r="Q53" i="14"/>
  <c r="R53" i="14" s="1" a="1"/>
  <c r="R53" i="14" s="1"/>
  <c r="Q61" i="14"/>
  <c r="R61" i="14" s="1" a="1"/>
  <c r="R61" i="14" s="1"/>
  <c r="Q66" i="14"/>
  <c r="R66" i="14" s="1" a="1"/>
  <c r="R66" i="14" s="1"/>
  <c r="Q72" i="14"/>
  <c r="R72" i="14" s="1" a="1"/>
  <c r="R72" i="14" s="1"/>
  <c r="Q79" i="14"/>
  <c r="R79" i="14" s="1" a="1"/>
  <c r="R79" i="14" s="1"/>
  <c r="P31" i="14"/>
  <c r="O31" i="14" s="1"/>
  <c r="Q31" i="14"/>
  <c r="R31" i="14" s="1" a="1"/>
  <c r="R31" i="14" s="1"/>
  <c r="P28" i="14"/>
  <c r="Q28" i="14"/>
  <c r="R28" i="14" s="1" a="1"/>
  <c r="R28" i="14" s="1"/>
  <c r="P52" i="14"/>
  <c r="O52" i="14" s="1"/>
  <c r="Q52" i="14"/>
  <c r="R52" i="14" s="1" a="1"/>
  <c r="R52" i="14" s="1"/>
  <c r="P30" i="14"/>
  <c r="Q30" i="14"/>
  <c r="R30" i="14" s="1" a="1"/>
  <c r="R30" i="14" s="1"/>
  <c r="P8" i="14"/>
  <c r="Q8" i="14"/>
  <c r="R8" i="14" s="1" a="1"/>
  <c r="R8" i="14" s="1"/>
  <c r="P56" i="14"/>
  <c r="O56" i="14" s="1"/>
  <c r="Q56" i="14"/>
  <c r="R56" i="14" s="1" a="1"/>
  <c r="R56" i="14" s="1"/>
  <c r="P62" i="14"/>
  <c r="O62" i="14" s="1"/>
  <c r="Q62" i="14"/>
  <c r="R62" i="14" s="1" a="1"/>
  <c r="R62" i="14" s="1"/>
  <c r="P69" i="14"/>
  <c r="O69" i="14" s="1"/>
  <c r="Q69" i="14"/>
  <c r="R69" i="14" s="1" a="1"/>
  <c r="R69" i="14" s="1"/>
  <c r="P77" i="14"/>
  <c r="O77" i="14" s="1"/>
  <c r="Q77" i="14"/>
  <c r="R77" i="14" s="1" a="1"/>
  <c r="R77" i="14" s="1"/>
  <c r="P82" i="14"/>
  <c r="O82" i="14" s="1"/>
  <c r="Q82" i="14"/>
  <c r="R82" i="14" s="1" a="1"/>
  <c r="R82" i="14" s="1"/>
  <c r="R42" i="14" l="1" a="1"/>
  <c r="R42" i="14" s="1"/>
  <c r="O28" i="14"/>
  <c r="O26" i="14"/>
  <c r="E14" i="29"/>
  <c r="K14" i="29"/>
  <c r="O5" i="14"/>
  <c r="E22" i="29"/>
  <c r="K22" i="29"/>
  <c r="O36" i="14"/>
  <c r="E26" i="29"/>
  <c r="K26" i="29"/>
  <c r="O9" i="14"/>
  <c r="E15" i="29"/>
  <c r="K15" i="29"/>
  <c r="O8" i="14"/>
  <c r="E29" i="29"/>
  <c r="K29" i="29"/>
  <c r="O30" i="14"/>
  <c r="E27" i="29"/>
  <c r="K27" i="29"/>
  <c r="O41" i="14"/>
  <c r="E9" i="29"/>
  <c r="K9" i="29"/>
  <c r="O7" i="14"/>
  <c r="E21" i="29"/>
  <c r="K21" i="29"/>
  <c r="E11" i="29"/>
  <c r="K11" i="29"/>
  <c r="M154" i="2"/>
  <c r="L154" i="2" s="1" a="1"/>
  <c r="L154" i="2" s="1"/>
  <c r="M201" i="2"/>
  <c r="L201" i="2" s="1" a="1"/>
  <c r="L201" i="2" s="1"/>
  <c r="M241" i="2"/>
  <c r="L241" i="2" s="1" a="1"/>
  <c r="L241" i="2" s="1"/>
  <c r="M51" i="2"/>
  <c r="L51" i="2" s="1" a="1"/>
  <c r="L51" i="2" s="1"/>
  <c r="M242" i="2"/>
  <c r="L242" i="2" s="1" a="1"/>
  <c r="L242" i="2" s="1"/>
  <c r="M52" i="2"/>
  <c r="L52" i="2" s="1" a="1"/>
  <c r="L52" i="2" s="1"/>
  <c r="M243" i="2"/>
  <c r="L243" i="2" s="1" a="1"/>
  <c r="L243" i="2" s="1"/>
  <c r="M53" i="2"/>
  <c r="L53" i="2" s="1" a="1"/>
  <c r="L53" i="2" s="1"/>
  <c r="M57" i="2"/>
  <c r="L57" i="2" s="1" a="1"/>
  <c r="L57" i="2" s="1"/>
  <c r="M177" i="2"/>
  <c r="L177" i="2" s="1" a="1"/>
  <c r="L177" i="2" s="1"/>
  <c r="M295" i="2"/>
  <c r="L295" i="2" s="1" a="1"/>
  <c r="L295" i="2" s="1"/>
  <c r="M217" i="2"/>
  <c r="L217" i="2" s="1" a="1"/>
  <c r="L217" i="2" s="1"/>
  <c r="M28" i="2"/>
  <c r="L28" i="2" s="1" a="1"/>
  <c r="L28" i="2" s="1"/>
  <c r="M218" i="2"/>
  <c r="L218" i="2" s="1" a="1"/>
  <c r="L218" i="2" s="1"/>
  <c r="M29" i="2"/>
  <c r="L29" i="2" s="1" a="1"/>
  <c r="L29" i="2" s="1"/>
  <c r="M219" i="2"/>
  <c r="L219" i="2" s="1" a="1"/>
  <c r="L219" i="2" s="1"/>
  <c r="M30" i="2"/>
  <c r="L30" i="2" s="1" a="1"/>
  <c r="L30" i="2" s="1"/>
  <c r="M196" i="2"/>
  <c r="L196" i="2" s="1" a="1"/>
  <c r="L196" i="2" s="1"/>
  <c r="M197" i="2"/>
  <c r="L197" i="2" s="1" a="1"/>
  <c r="L197" i="2" s="1"/>
  <c r="M128" i="2"/>
  <c r="L128" i="2" s="1" a="1"/>
  <c r="L128" i="2" s="1"/>
  <c r="M172" i="2"/>
  <c r="L172" i="2" s="1" a="1"/>
  <c r="L172" i="2" s="1"/>
  <c r="M173" i="2"/>
  <c r="L173" i="2" s="1" a="1"/>
  <c r="L173" i="2" s="1"/>
  <c r="M174" i="2"/>
  <c r="L174" i="2" s="1" a="1"/>
  <c r="L174" i="2" s="1"/>
  <c r="M300" i="2"/>
  <c r="M105" i="2"/>
  <c r="L105" i="2" s="1" a="1"/>
  <c r="L105" i="2" s="1"/>
  <c r="M147" i="2"/>
  <c r="L147" i="2" s="1" a="1"/>
  <c r="L147" i="2" s="1"/>
  <c r="M148" i="2"/>
  <c r="L148" i="2" s="1" a="1"/>
  <c r="L148" i="2" s="1"/>
  <c r="M149" i="2"/>
  <c r="L149" i="2" s="1" a="1"/>
  <c r="L149" i="2" s="1"/>
  <c r="M195" i="2"/>
  <c r="L195" i="2" s="1" a="1"/>
  <c r="L195" i="2" s="1"/>
  <c r="M267" i="2"/>
  <c r="L267" i="2" s="1" a="1"/>
  <c r="L267" i="2" s="1"/>
  <c r="M83" i="2"/>
  <c r="L83" i="2" s="1" a="1"/>
  <c r="L83" i="2" s="1"/>
  <c r="M123" i="2"/>
  <c r="L123" i="2" s="1" a="1"/>
  <c r="L123" i="2" s="1"/>
  <c r="M124" i="2"/>
  <c r="L124" i="2" s="1" a="1"/>
  <c r="L124" i="2" s="1"/>
  <c r="M125" i="2"/>
  <c r="L125" i="2" s="1" a="1"/>
  <c r="L125" i="2" s="1"/>
  <c r="M246" i="2"/>
  <c r="L246" i="2" s="1" a="1"/>
  <c r="L246" i="2" s="1"/>
  <c r="M285" i="2"/>
  <c r="L285" i="2" s="1" a="1"/>
  <c r="L285" i="2" s="1"/>
  <c r="M100" i="2"/>
  <c r="L100" i="2" s="1" a="1"/>
  <c r="L100" i="2" s="1"/>
  <c r="M286" i="2"/>
  <c r="L286" i="2" s="1" a="1"/>
  <c r="L286" i="2" s="1"/>
  <c r="M101" i="2"/>
  <c r="L101" i="2" s="1" a="1"/>
  <c r="L101" i="2" s="1"/>
  <c r="M287" i="2"/>
  <c r="L287" i="2" s="1" a="1"/>
  <c r="L287" i="2" s="1"/>
  <c r="M102" i="2"/>
  <c r="L102" i="2" s="1" a="1"/>
  <c r="L102" i="2" s="1"/>
  <c r="M34" i="2"/>
  <c r="L34" i="2" s="1" a="1"/>
  <c r="L34" i="2" s="1"/>
  <c r="M222" i="2"/>
  <c r="L222" i="2" s="1" a="1"/>
  <c r="L222" i="2" s="1"/>
  <c r="M293" i="2"/>
  <c r="L293" i="2" s="1" a="1"/>
  <c r="L293" i="2" s="1"/>
  <c r="M262" i="2"/>
  <c r="L262" i="2" s="1" a="1"/>
  <c r="L262" i="2" s="1"/>
  <c r="M77" i="2"/>
  <c r="L77" i="2" s="1" a="1"/>
  <c r="L77" i="2" s="1"/>
  <c r="M263" i="2"/>
  <c r="L263" i="2" s="1" a="1"/>
  <c r="L263" i="2" s="1"/>
  <c r="M78" i="2"/>
  <c r="L78" i="2" s="1" a="1"/>
  <c r="L78" i="2" s="1"/>
  <c r="M264" i="2"/>
  <c r="L264" i="2" s="1" a="1"/>
  <c r="L264" i="2" s="1"/>
  <c r="M79" i="2"/>
  <c r="L79" i="2" s="1" a="1"/>
  <c r="L79" i="2" s="1"/>
  <c r="M71" i="14" a="1"/>
  <c r="M71" i="14" s="1"/>
  <c r="N82" i="14"/>
  <c r="N56" i="14"/>
  <c r="N28" i="14"/>
  <c r="N61" i="14"/>
  <c r="N36" i="14"/>
  <c r="N7" i="14"/>
  <c r="N77" i="14"/>
  <c r="N8" i="14"/>
  <c r="N31" i="14"/>
  <c r="N38" i="14"/>
  <c r="N9" i="14"/>
  <c r="N41" i="14"/>
  <c r="N53" i="14"/>
  <c r="N5" i="14"/>
  <c r="N78" i="14"/>
  <c r="N48" i="14"/>
  <c r="N66" i="14"/>
  <c r="N69" i="14"/>
  <c r="N30" i="14"/>
  <c r="N26" i="14"/>
  <c r="N70" i="14"/>
  <c r="N42" i="14"/>
  <c r="N67" i="14"/>
  <c r="N79" i="14"/>
  <c r="N49" i="14"/>
  <c r="N65" i="14"/>
  <c r="N62" i="14"/>
  <c r="N52" i="14"/>
  <c r="N72" i="14"/>
  <c r="N45" i="14"/>
  <c r="N59" i="14"/>
  <c r="N76" i="14"/>
  <c r="M81" i="14" a="1"/>
  <c r="M81" i="14" s="1"/>
  <c r="F26" i="30" a="1"/>
  <c r="F26" i="30" s="1"/>
  <c r="M73" i="14" a="1"/>
  <c r="M73" i="14" s="1"/>
  <c r="I5" i="29"/>
  <c r="H26" i="30" a="1"/>
  <c r="H26" i="30" s="1"/>
  <c r="L76" i="14" a="1"/>
  <c r="L76" i="14" s="1"/>
  <c r="R76" i="14" a="1"/>
  <c r="R76" i="14" s="1"/>
  <c r="H5" i="29"/>
  <c r="F5" i="29"/>
  <c r="J5" i="29"/>
  <c r="G5" i="29"/>
  <c r="O5" i="2"/>
  <c r="N5" i="2" s="1"/>
  <c r="O7" i="2"/>
  <c r="N7" i="2" s="1"/>
  <c r="O8" i="2"/>
  <c r="N8" i="2" s="1"/>
  <c r="O10" i="2"/>
  <c r="O11" i="2"/>
  <c r="O14" i="2"/>
  <c r="O17" i="2"/>
  <c r="O20" i="2"/>
  <c r="O21" i="2"/>
  <c r="O22" i="2"/>
  <c r="N22" i="2" s="1"/>
  <c r="O23" i="2"/>
  <c r="N23" i="2" s="1"/>
  <c r="O24" i="2"/>
  <c r="N24" i="2" s="1"/>
  <c r="O25" i="2"/>
  <c r="N25" i="2" s="1"/>
  <c r="O26" i="2"/>
  <c r="N26" i="2" s="1"/>
  <c r="O27" i="2"/>
  <c r="N27" i="2" s="1"/>
  <c r="O32" i="2"/>
  <c r="N32" i="2" s="1"/>
  <c r="O33" i="2"/>
  <c r="N33" i="2" s="1"/>
  <c r="O35" i="2"/>
  <c r="N35" i="2" s="1"/>
  <c r="O36" i="2"/>
  <c r="N36" i="2" s="1"/>
  <c r="O39" i="2"/>
  <c r="N39" i="2" s="1"/>
  <c r="O40" i="2"/>
  <c r="N40" i="2" s="1"/>
  <c r="O41" i="2"/>
  <c r="N41" i="2" s="1"/>
  <c r="O42" i="2"/>
  <c r="N42" i="2" s="1"/>
  <c r="O43" i="2"/>
  <c r="N43" i="2" s="1"/>
  <c r="O44" i="2"/>
  <c r="N44" i="2" s="1"/>
  <c r="O45" i="2"/>
  <c r="N45" i="2" s="1"/>
  <c r="O46" i="2"/>
  <c r="N46" i="2" s="1"/>
  <c r="O47" i="2"/>
  <c r="N47" i="2" s="1"/>
  <c r="O48" i="2"/>
  <c r="N48" i="2" s="1"/>
  <c r="O49" i="2"/>
  <c r="N49" i="2" s="1"/>
  <c r="O50" i="2"/>
  <c r="N50" i="2" s="1"/>
  <c r="O54" i="2"/>
  <c r="N54" i="2" s="1"/>
  <c r="O55" i="2"/>
  <c r="N55" i="2" s="1"/>
  <c r="O56" i="2"/>
  <c r="N56" i="2" s="1"/>
  <c r="O60" i="2"/>
  <c r="N60" i="2" s="1"/>
  <c r="O61" i="2"/>
  <c r="N61" i="2" s="1"/>
  <c r="O62" i="2"/>
  <c r="N62" i="2" s="1"/>
  <c r="O65" i="2"/>
  <c r="N65" i="2" s="1"/>
  <c r="O66" i="2"/>
  <c r="N66" i="2" s="1"/>
  <c r="O68" i="2"/>
  <c r="N68" i="2" s="1"/>
  <c r="O69" i="2"/>
  <c r="N69" i="2" s="1"/>
  <c r="O70" i="2"/>
  <c r="N70" i="2" s="1"/>
  <c r="O71" i="2"/>
  <c r="N71" i="2" s="1"/>
  <c r="O72" i="2"/>
  <c r="N72" i="2" s="1"/>
  <c r="O73" i="2"/>
  <c r="N73" i="2" s="1"/>
  <c r="O74" i="2"/>
  <c r="N74" i="2" s="1"/>
  <c r="O75" i="2"/>
  <c r="N75" i="2" s="1"/>
  <c r="O76" i="2"/>
  <c r="N76" i="2" s="1"/>
  <c r="O80" i="2"/>
  <c r="N80" i="2" s="1"/>
  <c r="O81" i="2"/>
  <c r="N81" i="2" s="1"/>
  <c r="O82" i="2"/>
  <c r="N82" i="2" s="1"/>
  <c r="O84" i="2"/>
  <c r="N84" i="2" s="1"/>
  <c r="O85" i="2"/>
  <c r="N85" i="2" s="1"/>
  <c r="O88" i="2"/>
  <c r="N88" i="2" s="1"/>
  <c r="O89" i="2"/>
  <c r="N89" i="2" s="1"/>
  <c r="O90" i="2"/>
  <c r="N90" i="2" s="1"/>
  <c r="O91" i="2"/>
  <c r="N91" i="2" s="1"/>
  <c r="O92" i="2"/>
  <c r="N92" i="2" s="1"/>
  <c r="O93" i="2"/>
  <c r="N93" i="2" s="1"/>
  <c r="O94" i="2"/>
  <c r="N94" i="2" s="1"/>
  <c r="O95" i="2"/>
  <c r="N95" i="2" s="1"/>
  <c r="O96" i="2"/>
  <c r="N96" i="2" s="1"/>
  <c r="O97" i="2"/>
  <c r="N97" i="2" s="1"/>
  <c r="O98" i="2"/>
  <c r="N98" i="2" s="1"/>
  <c r="O99" i="2"/>
  <c r="N99" i="2" s="1"/>
  <c r="O103" i="2"/>
  <c r="N103" i="2" s="1"/>
  <c r="O104" i="2"/>
  <c r="N104" i="2" s="1"/>
  <c r="O106" i="2"/>
  <c r="N106" i="2" s="1"/>
  <c r="O107" i="2"/>
  <c r="N107" i="2" s="1"/>
  <c r="O108" i="2"/>
  <c r="N108" i="2" s="1"/>
  <c r="O111" i="2"/>
  <c r="N111" i="2" s="1"/>
  <c r="O112" i="2"/>
  <c r="N112" i="2" s="1"/>
  <c r="O113" i="2"/>
  <c r="N113" i="2" s="1"/>
  <c r="O114" i="2"/>
  <c r="N114" i="2" s="1"/>
  <c r="O115" i="2"/>
  <c r="N115" i="2" s="1"/>
  <c r="O116" i="2"/>
  <c r="N116" i="2" s="1"/>
  <c r="O117" i="2"/>
  <c r="N117" i="2" s="1"/>
  <c r="O118" i="2"/>
  <c r="N118" i="2" s="1"/>
  <c r="O119" i="2"/>
  <c r="N119" i="2" s="1"/>
  <c r="O120" i="2"/>
  <c r="N120" i="2" s="1"/>
  <c r="O121" i="2"/>
  <c r="N121" i="2" s="1"/>
  <c r="O122" i="2"/>
  <c r="N122" i="2" s="1"/>
  <c r="O126" i="2"/>
  <c r="N126" i="2" s="1"/>
  <c r="O127" i="2"/>
  <c r="N127" i="2" s="1"/>
  <c r="O129" i="2"/>
  <c r="N129" i="2" s="1"/>
  <c r="O130" i="2"/>
  <c r="N130" i="2" s="1"/>
  <c r="O133" i="2"/>
  <c r="N133" i="2" s="1"/>
  <c r="O67" i="2"/>
  <c r="N67" i="2" s="1"/>
  <c r="O134" i="2"/>
  <c r="N134" i="2" s="1"/>
  <c r="O135" i="2"/>
  <c r="N135" i="2" s="1"/>
  <c r="O136" i="2"/>
  <c r="N136" i="2" s="1"/>
  <c r="O137" i="2"/>
  <c r="N137" i="2" s="1"/>
  <c r="O138" i="2"/>
  <c r="N138" i="2" s="1"/>
  <c r="O139" i="2"/>
  <c r="N139" i="2" s="1"/>
  <c r="O140" i="2"/>
  <c r="N140" i="2" s="1"/>
  <c r="O142" i="2"/>
  <c r="N142" i="2" s="1"/>
  <c r="O143" i="2"/>
  <c r="N143" i="2" s="1"/>
  <c r="O144" i="2"/>
  <c r="N144" i="2" s="1"/>
  <c r="O145" i="2"/>
  <c r="N145" i="2" s="1"/>
  <c r="O146" i="2"/>
  <c r="N146" i="2" s="1"/>
  <c r="O150" i="2"/>
  <c r="N150" i="2" s="1"/>
  <c r="O151" i="2"/>
  <c r="N151" i="2" s="1"/>
  <c r="O152" i="2"/>
  <c r="N152" i="2" s="1"/>
  <c r="O153" i="2"/>
  <c r="N153" i="2" s="1"/>
  <c r="O155" i="2"/>
  <c r="N155" i="2" s="1"/>
  <c r="O156" i="2"/>
  <c r="N156" i="2" s="1"/>
  <c r="O159" i="2"/>
  <c r="N159" i="2" s="1"/>
  <c r="O160" i="2"/>
  <c r="N160" i="2" s="1"/>
  <c r="O161" i="2"/>
  <c r="N161" i="2" s="1"/>
  <c r="O162" i="2"/>
  <c r="N162" i="2" s="1"/>
  <c r="O163" i="2"/>
  <c r="N163" i="2" s="1"/>
  <c r="O164" i="2"/>
  <c r="N164" i="2" s="1"/>
  <c r="O165" i="2"/>
  <c r="N165" i="2" s="1"/>
  <c r="O166" i="2"/>
  <c r="N166" i="2" s="1"/>
  <c r="O167" i="2"/>
  <c r="N167" i="2" s="1"/>
  <c r="O141" i="2"/>
  <c r="N141" i="2" s="1"/>
  <c r="O168" i="2"/>
  <c r="N168" i="2" s="1"/>
  <c r="O169" i="2"/>
  <c r="N169" i="2" s="1"/>
  <c r="O170" i="2"/>
  <c r="N170" i="2" s="1"/>
  <c r="O171" i="2"/>
  <c r="N171" i="2" s="1"/>
  <c r="O175" i="2"/>
  <c r="N175" i="2" s="1"/>
  <c r="O176" i="2"/>
  <c r="N176" i="2" s="1"/>
  <c r="O178" i="2"/>
  <c r="N178" i="2" s="1"/>
  <c r="O179" i="2"/>
  <c r="N179" i="2" s="1"/>
  <c r="O180" i="2"/>
  <c r="N180" i="2" s="1"/>
  <c r="O181" i="2"/>
  <c r="N181" i="2" s="1"/>
  <c r="O184" i="2"/>
  <c r="N184" i="2" s="1"/>
  <c r="O185" i="2"/>
  <c r="N185" i="2" s="1"/>
  <c r="O186" i="2"/>
  <c r="N186" i="2" s="1"/>
  <c r="O187" i="2"/>
  <c r="N187" i="2" s="1"/>
  <c r="O188" i="2"/>
  <c r="N188" i="2" s="1"/>
  <c r="O189" i="2"/>
  <c r="N189" i="2" s="1"/>
  <c r="O190" i="2"/>
  <c r="N190" i="2" s="1"/>
  <c r="O191" i="2"/>
  <c r="N191" i="2" s="1"/>
  <c r="O192" i="2"/>
  <c r="N192" i="2" s="1"/>
  <c r="O193" i="2"/>
  <c r="N193" i="2" s="1"/>
  <c r="O194" i="2"/>
  <c r="N194" i="2" s="1"/>
  <c r="O198" i="2"/>
  <c r="N198" i="2" s="1"/>
  <c r="O199" i="2"/>
  <c r="N199" i="2" s="1"/>
  <c r="O200" i="2"/>
  <c r="N200" i="2" s="1"/>
  <c r="O202" i="2"/>
  <c r="N202" i="2" s="1"/>
  <c r="O203" i="2"/>
  <c r="N203" i="2" s="1"/>
  <c r="O204" i="2"/>
  <c r="N204" i="2" s="1"/>
  <c r="O207" i="2"/>
  <c r="N207" i="2" s="1"/>
  <c r="O208" i="2"/>
  <c r="N208" i="2" s="1"/>
  <c r="O209" i="2"/>
  <c r="N209" i="2" s="1"/>
  <c r="O210" i="2"/>
  <c r="N210" i="2" s="1"/>
  <c r="O211" i="2"/>
  <c r="N211" i="2" s="1"/>
  <c r="O212" i="2"/>
  <c r="N212" i="2" s="1"/>
  <c r="O213" i="2"/>
  <c r="N213" i="2" s="1"/>
  <c r="O214" i="2"/>
  <c r="N214" i="2" s="1"/>
  <c r="O215" i="2"/>
  <c r="N215" i="2" s="1"/>
  <c r="O216" i="2"/>
  <c r="N216" i="2" s="1"/>
  <c r="O220" i="2"/>
  <c r="N220" i="2" s="1"/>
  <c r="O221" i="2"/>
  <c r="N221" i="2" s="1"/>
  <c r="O223" i="2"/>
  <c r="N223" i="2" s="1"/>
  <c r="O224" i="2"/>
  <c r="N224" i="2" s="1"/>
  <c r="O227" i="2"/>
  <c r="N227" i="2" s="1"/>
  <c r="O228" i="2"/>
  <c r="N228" i="2" s="1"/>
  <c r="O229" i="2"/>
  <c r="N229" i="2" s="1"/>
  <c r="O230" i="2"/>
  <c r="N230" i="2" s="1"/>
  <c r="O231" i="2"/>
  <c r="N231" i="2" s="1"/>
  <c r="O232" i="2"/>
  <c r="N232" i="2" s="1"/>
  <c r="O6" i="2"/>
  <c r="N6" i="2" s="1"/>
  <c r="O233" i="2"/>
  <c r="N233" i="2" s="1"/>
  <c r="O234" i="2"/>
  <c r="N234" i="2" s="1"/>
  <c r="O235" i="2"/>
  <c r="N235" i="2" s="1"/>
  <c r="O236" i="2"/>
  <c r="N236" i="2" s="1"/>
  <c r="O237" i="2"/>
  <c r="N237" i="2" s="1"/>
  <c r="O238" i="2"/>
  <c r="N238" i="2" s="1"/>
  <c r="O239" i="2"/>
  <c r="N239" i="2" s="1"/>
  <c r="O240" i="2"/>
  <c r="N240" i="2" s="1"/>
  <c r="O244" i="2"/>
  <c r="N244" i="2" s="1"/>
  <c r="O245" i="2"/>
  <c r="N245" i="2" s="1"/>
  <c r="O247" i="2"/>
  <c r="N247" i="2" s="1"/>
  <c r="O248" i="2"/>
  <c r="N248" i="2" s="1"/>
  <c r="O251" i="2"/>
  <c r="N251" i="2" s="1"/>
  <c r="O252" i="2"/>
  <c r="N252" i="2" s="1"/>
  <c r="O253" i="2"/>
  <c r="N253" i="2" s="1"/>
  <c r="O254" i="2"/>
  <c r="N254" i="2" s="1"/>
  <c r="O255" i="2"/>
  <c r="N255" i="2" s="1"/>
  <c r="O256" i="2"/>
  <c r="N256" i="2" s="1"/>
  <c r="O257" i="2"/>
  <c r="N257" i="2" s="1"/>
  <c r="O258" i="2"/>
  <c r="N258" i="2" s="1"/>
  <c r="O259" i="2"/>
  <c r="N259" i="2" s="1"/>
  <c r="O260" i="2"/>
  <c r="N260" i="2" s="1"/>
  <c r="O261" i="2"/>
  <c r="N261" i="2" s="1"/>
  <c r="O288" i="2"/>
  <c r="N288" i="2" s="1"/>
  <c r="O265" i="2"/>
  <c r="N265" i="2" s="1"/>
  <c r="O266" i="2"/>
  <c r="N266" i="2" s="1"/>
  <c r="O268" i="2"/>
  <c r="N268" i="2" s="1"/>
  <c r="O269" i="2"/>
  <c r="N269" i="2" s="1"/>
  <c r="O272" i="2"/>
  <c r="N272" i="2" s="1"/>
  <c r="O273" i="2"/>
  <c r="N273" i="2" s="1"/>
  <c r="O274" i="2"/>
  <c r="N274" i="2" s="1"/>
  <c r="O275" i="2"/>
  <c r="N275" i="2" s="1"/>
  <c r="O276" i="2"/>
  <c r="N276" i="2" s="1"/>
  <c r="O277" i="2"/>
  <c r="N277" i="2" s="1"/>
  <c r="O278" i="2"/>
  <c r="N278" i="2" s="1"/>
  <c r="O279" i="2"/>
  <c r="N279" i="2" s="1"/>
  <c r="O280" i="2"/>
  <c r="N280" i="2" s="1"/>
  <c r="O281" i="2"/>
  <c r="N281" i="2" s="1"/>
  <c r="O282" i="2"/>
  <c r="N282" i="2" s="1"/>
  <c r="O283" i="2"/>
  <c r="N283" i="2" s="1"/>
  <c r="O284" i="2"/>
  <c r="N284" i="2" s="1"/>
  <c r="O289" i="2"/>
  <c r="N289" i="2" s="1"/>
  <c r="O290" i="2"/>
  <c r="N290" i="2" s="1"/>
  <c r="O291" i="2"/>
  <c r="N291" i="2" s="1"/>
  <c r="O292" i="2"/>
  <c r="N292" i="2" s="1"/>
  <c r="O294" i="2"/>
  <c r="N294" i="2" s="1"/>
  <c r="O296" i="2"/>
  <c r="N296" i="2" s="1"/>
  <c r="O297" i="2"/>
  <c r="N297" i="2" s="1"/>
  <c r="P43" i="14"/>
  <c r="O43" i="14" s="1"/>
  <c r="P44" i="14"/>
  <c r="O44" i="14" s="1"/>
  <c r="P46" i="14"/>
  <c r="O46" i="14" s="1"/>
  <c r="P47" i="14"/>
  <c r="O47" i="14" s="1"/>
  <c r="P29" i="14"/>
  <c r="O29" i="14" s="1"/>
  <c r="P50" i="14"/>
  <c r="P37" i="14"/>
  <c r="P51" i="14"/>
  <c r="O51" i="14" s="1"/>
  <c r="P6" i="14"/>
  <c r="P27" i="14"/>
  <c r="P39" i="14"/>
  <c r="P40" i="14"/>
  <c r="P54" i="14"/>
  <c r="O54" i="14" s="1"/>
  <c r="P55" i="14"/>
  <c r="O55" i="14" s="1"/>
  <c r="P57" i="14"/>
  <c r="O57" i="14" s="1"/>
  <c r="P58" i="14"/>
  <c r="O58" i="14" s="1"/>
  <c r="P60" i="14"/>
  <c r="O60" i="14" s="1"/>
  <c r="P63" i="14"/>
  <c r="O63" i="14" s="1"/>
  <c r="P64" i="14"/>
  <c r="O64" i="14" s="1"/>
  <c r="P68" i="14"/>
  <c r="O68" i="14" s="1"/>
  <c r="P74" i="14"/>
  <c r="O74" i="14" s="1"/>
  <c r="P75" i="14"/>
  <c r="O75" i="14" s="1"/>
  <c r="P80" i="14"/>
  <c r="O80" i="14" s="1"/>
  <c r="P83" i="14"/>
  <c r="O83" i="14" s="1"/>
  <c r="Q43" i="14"/>
  <c r="Q44" i="14"/>
  <c r="R44" i="14" s="1" a="1"/>
  <c r="R44" i="14" s="1"/>
  <c r="Q46" i="14"/>
  <c r="R46" i="14" s="1" a="1"/>
  <c r="R46" i="14" s="1"/>
  <c r="Q47" i="14"/>
  <c r="R47" i="14" s="1" a="1"/>
  <c r="R47" i="14" s="1"/>
  <c r="Q29" i="14"/>
  <c r="R29" i="14" s="1" a="1"/>
  <c r="R29" i="14" s="1"/>
  <c r="Q50" i="14"/>
  <c r="R50" i="14" s="1" a="1"/>
  <c r="R50" i="14" s="1"/>
  <c r="Q37" i="14"/>
  <c r="R37" i="14" s="1" a="1"/>
  <c r="R37" i="14" s="1"/>
  <c r="Q51" i="14"/>
  <c r="R51" i="14" s="1" a="1"/>
  <c r="R51" i="14" s="1"/>
  <c r="Q6" i="14"/>
  <c r="R6" i="14" s="1" a="1"/>
  <c r="R6" i="14" s="1"/>
  <c r="Q27" i="14"/>
  <c r="R27" i="14" s="1" a="1"/>
  <c r="R27" i="14" s="1"/>
  <c r="Q39" i="14"/>
  <c r="R39" i="14" s="1" a="1"/>
  <c r="R39" i="14" s="1"/>
  <c r="Q40" i="14"/>
  <c r="R40" i="14" s="1" a="1"/>
  <c r="R40" i="14" s="1"/>
  <c r="Q54" i="14"/>
  <c r="R54" i="14" s="1" a="1"/>
  <c r="R54" i="14" s="1"/>
  <c r="Q55" i="14"/>
  <c r="Q57" i="14"/>
  <c r="R57" i="14" s="1" a="1"/>
  <c r="R57" i="14" s="1"/>
  <c r="Q58" i="14"/>
  <c r="Q60" i="14"/>
  <c r="R60" i="14" s="1" a="1"/>
  <c r="R60" i="14" s="1"/>
  <c r="Q63" i="14"/>
  <c r="R63" i="14" s="1" a="1"/>
  <c r="R63" i="14" s="1"/>
  <c r="Q64" i="14"/>
  <c r="R64" i="14" s="1" a="1"/>
  <c r="R64" i="14" s="1"/>
  <c r="Q68" i="14"/>
  <c r="R68" i="14" s="1" a="1"/>
  <c r="R68" i="14" s="1"/>
  <c r="Q74" i="14"/>
  <c r="R74" i="14" s="1" a="1"/>
  <c r="R74" i="14" s="1"/>
  <c r="Q75" i="14"/>
  <c r="Q80" i="14"/>
  <c r="R80" i="14" s="1" a="1"/>
  <c r="R80" i="14" s="1"/>
  <c r="Q83" i="14"/>
  <c r="R83" i="14" s="1" a="1"/>
  <c r="R83" i="14" s="1"/>
  <c r="N21" i="2" l="1"/>
  <c r="G96" i="3"/>
  <c r="N17" i="2"/>
  <c r="G89" i="3"/>
  <c r="N11" i="2"/>
  <c r="G83" i="3"/>
  <c r="N20" i="2"/>
  <c r="G92" i="3"/>
  <c r="N14" i="2"/>
  <c r="G86" i="3"/>
  <c r="N10" i="2"/>
  <c r="G82" i="3"/>
  <c r="E30" i="29"/>
  <c r="K30" i="29"/>
  <c r="M36" i="14" a="1"/>
  <c r="M36" i="14" s="1"/>
  <c r="O39" i="14"/>
  <c r="E23" i="29"/>
  <c r="K23" i="29"/>
  <c r="O6" i="14"/>
  <c r="E24" i="29"/>
  <c r="K24" i="29"/>
  <c r="O37" i="14"/>
  <c r="E16" i="29"/>
  <c r="K16" i="29"/>
  <c r="E10" i="29"/>
  <c r="E12" i="29"/>
  <c r="O40" i="14"/>
  <c r="E28" i="29"/>
  <c r="K28" i="29"/>
  <c r="O27" i="14"/>
  <c r="E25" i="29"/>
  <c r="K25" i="29"/>
  <c r="O50" i="14"/>
  <c r="E13" i="29"/>
  <c r="K13" i="29"/>
  <c r="K10" i="29"/>
  <c r="K12" i="29"/>
  <c r="E20" i="29"/>
  <c r="K20" i="29"/>
  <c r="E17" i="29"/>
  <c r="K17" i="29"/>
  <c r="E19" i="29"/>
  <c r="K19" i="29"/>
  <c r="G25" i="30" a="1"/>
  <c r="G25" i="30" s="1"/>
  <c r="G45" i="30" s="1"/>
  <c r="G95" i="3"/>
  <c r="K5" i="29"/>
  <c r="E5" i="29"/>
  <c r="M277" i="2"/>
  <c r="L277" i="2" s="1" a="1"/>
  <c r="L277" i="2" s="1"/>
  <c r="M292" i="2"/>
  <c r="M280" i="2"/>
  <c r="L280" i="2" s="1" a="1"/>
  <c r="L280" i="2" s="1"/>
  <c r="M272" i="2"/>
  <c r="L272" i="2" s="1" a="1"/>
  <c r="L272" i="2" s="1"/>
  <c r="M259" i="2"/>
  <c r="L259" i="2" s="1" a="1"/>
  <c r="L259" i="2" s="1"/>
  <c r="M251" i="2"/>
  <c r="L251" i="2" s="1" a="1"/>
  <c r="L251" i="2" s="1"/>
  <c r="M237" i="2"/>
  <c r="L237" i="2" s="1" a="1"/>
  <c r="L237" i="2" s="1"/>
  <c r="M230" i="2"/>
  <c r="L230" i="2" s="1" a="1"/>
  <c r="L230" i="2" s="1"/>
  <c r="M216" i="2"/>
  <c r="L216" i="2" s="1" a="1"/>
  <c r="L216" i="2" s="1"/>
  <c r="M208" i="2"/>
  <c r="L208" i="2" s="1" a="1"/>
  <c r="L208" i="2" s="1"/>
  <c r="M194" i="2"/>
  <c r="L194" i="2" s="1" a="1"/>
  <c r="L194" i="2" s="1"/>
  <c r="M186" i="2"/>
  <c r="L186" i="2" s="1" a="1"/>
  <c r="L186" i="2" s="1"/>
  <c r="M175" i="2"/>
  <c r="L175" i="2" s="1" a="1"/>
  <c r="L175" i="2" s="1"/>
  <c r="M165" i="2"/>
  <c r="L165" i="2" s="1" a="1"/>
  <c r="L165" i="2" s="1"/>
  <c r="M155" i="2"/>
  <c r="L155" i="2" s="1" a="1"/>
  <c r="L155" i="2" s="1"/>
  <c r="M143" i="2"/>
  <c r="L143" i="2" s="1" a="1"/>
  <c r="L143" i="2" s="1"/>
  <c r="M134" i="2"/>
  <c r="L134" i="2" s="1" a="1"/>
  <c r="L134" i="2" s="1"/>
  <c r="M121" i="2"/>
  <c r="L121" i="2" s="1" a="1"/>
  <c r="L121" i="2" s="1"/>
  <c r="M113" i="2"/>
  <c r="L113" i="2" s="1" a="1"/>
  <c r="L113" i="2" s="1"/>
  <c r="M99" i="2"/>
  <c r="L99" i="2" s="1" a="1"/>
  <c r="L99" i="2" s="1"/>
  <c r="M91" i="2"/>
  <c r="L91" i="2" s="1" a="1"/>
  <c r="L91" i="2" s="1"/>
  <c r="M80" i="2"/>
  <c r="L80" i="2" s="1" a="1"/>
  <c r="L80" i="2" s="1"/>
  <c r="M69" i="2"/>
  <c r="L69" i="2" s="1" a="1"/>
  <c r="L69" i="2" s="1"/>
  <c r="M55" i="2"/>
  <c r="L55" i="2" s="1" a="1"/>
  <c r="L55" i="2" s="1"/>
  <c r="M44" i="2"/>
  <c r="L44" i="2" s="1" a="1"/>
  <c r="L44" i="2" s="1"/>
  <c r="M33" i="2"/>
  <c r="L33" i="2" s="1" a="1"/>
  <c r="L33" i="2" s="1"/>
  <c r="M21" i="2"/>
  <c r="M5" i="2"/>
  <c r="L5" i="2" s="1" a="1"/>
  <c r="L5" i="2" s="1"/>
  <c r="M297" i="2"/>
  <c r="L297" i="2" s="1" a="1"/>
  <c r="L297" i="2" s="1"/>
  <c r="M275" i="2"/>
  <c r="L275" i="2" s="1" a="1"/>
  <c r="L275" i="2" s="1"/>
  <c r="M288" i="2"/>
  <c r="L288" i="2" s="1" a="1"/>
  <c r="L288" i="2" s="1"/>
  <c r="M254" i="2"/>
  <c r="L254" i="2" s="1" a="1"/>
  <c r="L254" i="2" s="1"/>
  <c r="M6" i="2"/>
  <c r="L6" i="2" s="1" a="1"/>
  <c r="L6" i="2" s="1"/>
  <c r="M223" i="2"/>
  <c r="L223" i="2" s="1" a="1"/>
  <c r="L223" i="2" s="1"/>
  <c r="M211" i="2"/>
  <c r="L211" i="2" s="1" a="1"/>
  <c r="L211" i="2" s="1"/>
  <c r="M200" i="2"/>
  <c r="L200" i="2" s="1" a="1"/>
  <c r="L200" i="2" s="1"/>
  <c r="M189" i="2"/>
  <c r="L189" i="2" s="1" a="1"/>
  <c r="L189" i="2" s="1"/>
  <c r="M179" i="2"/>
  <c r="L179" i="2" s="1" a="1"/>
  <c r="L179" i="2" s="1"/>
  <c r="M141" i="2"/>
  <c r="L141" i="2" s="1" a="1"/>
  <c r="L141" i="2" s="1"/>
  <c r="M160" i="2"/>
  <c r="L160" i="2" s="1" a="1"/>
  <c r="L160" i="2" s="1"/>
  <c r="M137" i="2"/>
  <c r="L137" i="2" s="1" a="1"/>
  <c r="L137" i="2" s="1"/>
  <c r="M127" i="2"/>
  <c r="L127" i="2" s="1" a="1"/>
  <c r="L127" i="2" s="1"/>
  <c r="M116" i="2"/>
  <c r="L116" i="2" s="1" a="1"/>
  <c r="L116" i="2" s="1"/>
  <c r="M106" i="2"/>
  <c r="L106" i="2" s="1" a="1"/>
  <c r="L106" i="2" s="1"/>
  <c r="M94" i="2"/>
  <c r="L94" i="2" s="1" a="1"/>
  <c r="L94" i="2" s="1"/>
  <c r="M84" i="2"/>
  <c r="L84" i="2" s="1" a="1"/>
  <c r="L84" i="2" s="1"/>
  <c r="M72" i="2"/>
  <c r="L72" i="2" s="1" a="1"/>
  <c r="L72" i="2" s="1"/>
  <c r="M61" i="2"/>
  <c r="L61" i="2" s="1" a="1"/>
  <c r="L61" i="2" s="1"/>
  <c r="M47" i="2"/>
  <c r="L47" i="2" s="1" a="1"/>
  <c r="L47" i="2" s="1"/>
  <c r="M39" i="2"/>
  <c r="L39" i="2" s="1" a="1"/>
  <c r="L39" i="2" s="1"/>
  <c r="M24" i="2"/>
  <c r="L24" i="2" s="1" a="1"/>
  <c r="L24" i="2" s="1"/>
  <c r="M10" i="2"/>
  <c r="M291" i="2"/>
  <c r="L291" i="2" s="1" a="1"/>
  <c r="L291" i="2" s="1"/>
  <c r="M279" i="2"/>
  <c r="L279" i="2" s="1" a="1"/>
  <c r="L279" i="2" s="1"/>
  <c r="M269" i="2"/>
  <c r="L269" i="2" s="1" a="1"/>
  <c r="L269" i="2" s="1"/>
  <c r="M258" i="2"/>
  <c r="L258" i="2" s="1" a="1"/>
  <c r="L258" i="2" s="1"/>
  <c r="M248" i="2"/>
  <c r="L248" i="2" s="1" a="1"/>
  <c r="L248" i="2" s="1"/>
  <c r="M236" i="2"/>
  <c r="L236" i="2" s="1" a="1"/>
  <c r="L236" i="2" s="1"/>
  <c r="M229" i="2"/>
  <c r="L229" i="2" s="1" a="1"/>
  <c r="L229" i="2" s="1"/>
  <c r="M215" i="2"/>
  <c r="L215" i="2" s="1" a="1"/>
  <c r="L215" i="2" s="1"/>
  <c r="M207" i="2"/>
  <c r="L207" i="2" s="1" a="1"/>
  <c r="L207" i="2" s="1"/>
  <c r="M193" i="2"/>
  <c r="L193" i="2" s="1" a="1"/>
  <c r="L193" i="2" s="1"/>
  <c r="M185" i="2"/>
  <c r="L185" i="2" s="1" a="1"/>
  <c r="L185" i="2" s="1"/>
  <c r="M171" i="2"/>
  <c r="L171" i="2" s="1" a="1"/>
  <c r="L171" i="2" s="1"/>
  <c r="M164" i="2"/>
  <c r="L164" i="2" s="1" a="1"/>
  <c r="L164" i="2" s="1"/>
  <c r="M153" i="2"/>
  <c r="L153" i="2" s="1" a="1"/>
  <c r="L153" i="2" s="1"/>
  <c r="M142" i="2"/>
  <c r="L142" i="2" s="1" a="1"/>
  <c r="L142" i="2" s="1"/>
  <c r="M67" i="2"/>
  <c r="L67" i="2" s="1" a="1"/>
  <c r="L67" i="2" s="1"/>
  <c r="M120" i="2"/>
  <c r="L120" i="2" s="1" a="1"/>
  <c r="L120" i="2" s="1"/>
  <c r="M112" i="2"/>
  <c r="L112" i="2" s="1" a="1"/>
  <c r="L112" i="2" s="1"/>
  <c r="M98" i="2"/>
  <c r="L98" i="2" s="1" a="1"/>
  <c r="L98" i="2" s="1"/>
  <c r="M90" i="2"/>
  <c r="L90" i="2" s="1" a="1"/>
  <c r="L90" i="2" s="1"/>
  <c r="M76" i="2"/>
  <c r="L76" i="2" s="1" a="1"/>
  <c r="L76" i="2" s="1"/>
  <c r="M68" i="2"/>
  <c r="L68" i="2" s="1" a="1"/>
  <c r="L68" i="2" s="1"/>
  <c r="M54" i="2"/>
  <c r="L54" i="2" s="1" a="1"/>
  <c r="L54" i="2" s="1"/>
  <c r="M43" i="2"/>
  <c r="L43" i="2" s="1" a="1"/>
  <c r="L43" i="2" s="1"/>
  <c r="M32" i="2"/>
  <c r="L32" i="2" s="1" a="1"/>
  <c r="L32" i="2" s="1"/>
  <c r="M20" i="2"/>
  <c r="M290" i="2"/>
  <c r="L290" i="2" s="1" a="1"/>
  <c r="L290" i="2" s="1"/>
  <c r="M278" i="2"/>
  <c r="L278" i="2" s="1" a="1"/>
  <c r="L278" i="2" s="1"/>
  <c r="M268" i="2"/>
  <c r="M257" i="2"/>
  <c r="L257" i="2" s="1" a="1"/>
  <c r="L257" i="2" s="1"/>
  <c r="M247" i="2"/>
  <c r="L247" i="2" s="1" a="1"/>
  <c r="L247" i="2" s="1"/>
  <c r="M235" i="2"/>
  <c r="L235" i="2" s="1" a="1"/>
  <c r="L235" i="2" s="1"/>
  <c r="M228" i="2"/>
  <c r="L228" i="2" s="1" a="1"/>
  <c r="L228" i="2" s="1"/>
  <c r="M214" i="2"/>
  <c r="L214" i="2" s="1" a="1"/>
  <c r="L214" i="2" s="1"/>
  <c r="M204" i="2"/>
  <c r="L204" i="2" s="1" a="1"/>
  <c r="L204" i="2" s="1"/>
  <c r="M192" i="2"/>
  <c r="L192" i="2" s="1" a="1"/>
  <c r="L192" i="2" s="1"/>
  <c r="M184" i="2"/>
  <c r="L184" i="2" s="1" a="1"/>
  <c r="L184" i="2" s="1"/>
  <c r="M170" i="2"/>
  <c r="L170" i="2" s="1" a="1"/>
  <c r="L170" i="2" s="1"/>
  <c r="M163" i="2"/>
  <c r="L163" i="2" s="1" a="1"/>
  <c r="L163" i="2" s="1"/>
  <c r="M152" i="2"/>
  <c r="L152" i="2" s="1" a="1"/>
  <c r="L152" i="2" s="1"/>
  <c r="M140" i="2"/>
  <c r="L140" i="2" s="1" a="1"/>
  <c r="L140" i="2" s="1"/>
  <c r="M133" i="2"/>
  <c r="L133" i="2" s="1" a="1"/>
  <c r="L133" i="2" s="1"/>
  <c r="M119" i="2"/>
  <c r="L119" i="2" s="1" a="1"/>
  <c r="L119" i="2" s="1"/>
  <c r="M111" i="2"/>
  <c r="L111" i="2" s="1" a="1"/>
  <c r="L111" i="2" s="1"/>
  <c r="M97" i="2"/>
  <c r="L97" i="2" s="1" a="1"/>
  <c r="L97" i="2" s="1"/>
  <c r="M89" i="2"/>
  <c r="L89" i="2" s="1" a="1"/>
  <c r="L89" i="2" s="1"/>
  <c r="M75" i="2"/>
  <c r="L75" i="2" s="1" a="1"/>
  <c r="L75" i="2" s="1"/>
  <c r="M66" i="2"/>
  <c r="L66" i="2" s="1" a="1"/>
  <c r="L66" i="2" s="1"/>
  <c r="M50" i="2"/>
  <c r="L50" i="2" s="1" a="1"/>
  <c r="L50" i="2" s="1"/>
  <c r="M42" i="2"/>
  <c r="L42" i="2" s="1" a="1"/>
  <c r="L42" i="2" s="1"/>
  <c r="M27" i="2"/>
  <c r="L27" i="2" s="1" a="1"/>
  <c r="L27" i="2" s="1"/>
  <c r="M17" i="2"/>
  <c r="M284" i="2"/>
  <c r="M276" i="2"/>
  <c r="M265" i="2"/>
  <c r="L265" i="2" s="1" a="1"/>
  <c r="L265" i="2" s="1"/>
  <c r="M255" i="2"/>
  <c r="L255" i="2" s="1" a="1"/>
  <c r="L255" i="2" s="1"/>
  <c r="M244" i="2"/>
  <c r="L244" i="2" s="1" a="1"/>
  <c r="L244" i="2" s="1"/>
  <c r="M233" i="2"/>
  <c r="L233" i="2" s="1" a="1"/>
  <c r="L233" i="2" s="1"/>
  <c r="M224" i="2"/>
  <c r="L224" i="2" s="1" a="1"/>
  <c r="L224" i="2" s="1"/>
  <c r="M212" i="2"/>
  <c r="L212" i="2" s="1" a="1"/>
  <c r="L212" i="2" s="1"/>
  <c r="M202" i="2"/>
  <c r="L202" i="2" s="1" a="1"/>
  <c r="L202" i="2" s="1"/>
  <c r="M190" i="2"/>
  <c r="L190" i="2" s="1" a="1"/>
  <c r="L190" i="2" s="1"/>
  <c r="M180" i="2"/>
  <c r="L180" i="2" s="1" a="1"/>
  <c r="L180" i="2" s="1"/>
  <c r="M168" i="2"/>
  <c r="L168" i="2" s="1" a="1"/>
  <c r="L168" i="2" s="1"/>
  <c r="M161" i="2"/>
  <c r="L161" i="2" s="1" a="1"/>
  <c r="L161" i="2" s="1"/>
  <c r="M150" i="2"/>
  <c r="L150" i="2" s="1" a="1"/>
  <c r="L150" i="2" s="1"/>
  <c r="M138" i="2"/>
  <c r="L138" i="2" s="1" a="1"/>
  <c r="L138" i="2" s="1"/>
  <c r="M129" i="2"/>
  <c r="L129" i="2" s="1" a="1"/>
  <c r="L129" i="2" s="1"/>
  <c r="M117" i="2"/>
  <c r="L117" i="2" s="1" a="1"/>
  <c r="L117" i="2" s="1"/>
  <c r="M107" i="2"/>
  <c r="L107" i="2" s="1" a="1"/>
  <c r="L107" i="2" s="1"/>
  <c r="M95" i="2"/>
  <c r="L95" i="2" s="1" a="1"/>
  <c r="L95" i="2" s="1"/>
  <c r="M85" i="2"/>
  <c r="L85" i="2" s="1" a="1"/>
  <c r="L85" i="2" s="1"/>
  <c r="M73" i="2"/>
  <c r="L73" i="2" s="1" a="1"/>
  <c r="L73" i="2" s="1"/>
  <c r="M62" i="2"/>
  <c r="L62" i="2" s="1" a="1"/>
  <c r="L62" i="2" s="1"/>
  <c r="M48" i="2"/>
  <c r="L48" i="2" s="1" a="1"/>
  <c r="L48" i="2" s="1"/>
  <c r="M40" i="2"/>
  <c r="L40" i="2" s="1" a="1"/>
  <c r="L40" i="2" s="1"/>
  <c r="M25" i="2"/>
  <c r="L25" i="2" s="1" a="1"/>
  <c r="L25" i="2" s="1"/>
  <c r="M11" i="2"/>
  <c r="M289" i="2"/>
  <c r="L289" i="2" s="1" a="1"/>
  <c r="L289" i="2" s="1"/>
  <c r="M256" i="2"/>
  <c r="L256" i="2" s="1" a="1"/>
  <c r="L256" i="2" s="1"/>
  <c r="M227" i="2"/>
  <c r="L227" i="2" s="1" a="1"/>
  <c r="L227" i="2" s="1"/>
  <c r="M203" i="2"/>
  <c r="L203" i="2" s="1" a="1"/>
  <c r="L203" i="2" s="1"/>
  <c r="M181" i="2"/>
  <c r="L181" i="2" s="1" a="1"/>
  <c r="L181" i="2" s="1"/>
  <c r="M162" i="2"/>
  <c r="L162" i="2" s="1" a="1"/>
  <c r="L162" i="2" s="1"/>
  <c r="M130" i="2"/>
  <c r="L130" i="2" s="1" a="1"/>
  <c r="L130" i="2" s="1"/>
  <c r="M74" i="2"/>
  <c r="L74" i="2" s="1" a="1"/>
  <c r="L74" i="2" s="1"/>
  <c r="M234" i="2"/>
  <c r="L234" i="2" s="1" a="1"/>
  <c r="L234" i="2" s="1"/>
  <c r="M296" i="2"/>
  <c r="L296" i="2" s="1" a="1"/>
  <c r="L296" i="2" s="1"/>
  <c r="M282" i="2"/>
  <c r="L282" i="2" s="1" a="1"/>
  <c r="L282" i="2" s="1"/>
  <c r="M274" i="2"/>
  <c r="L274" i="2" s="1" a="1"/>
  <c r="L274" i="2" s="1"/>
  <c r="M261" i="2"/>
  <c r="L261" i="2" s="1" a="1"/>
  <c r="L261" i="2" s="1"/>
  <c r="M253" i="2"/>
  <c r="L253" i="2" s="1" a="1"/>
  <c r="L253" i="2" s="1"/>
  <c r="M239" i="2"/>
  <c r="L239" i="2" s="1" a="1"/>
  <c r="L239" i="2" s="1"/>
  <c r="M232" i="2"/>
  <c r="L232" i="2" s="1" a="1"/>
  <c r="L232" i="2" s="1"/>
  <c r="M221" i="2"/>
  <c r="L221" i="2" s="1" a="1"/>
  <c r="L221" i="2" s="1"/>
  <c r="M210" i="2"/>
  <c r="L210" i="2" s="1" a="1"/>
  <c r="L210" i="2" s="1"/>
  <c r="M199" i="2"/>
  <c r="L199" i="2" s="1" a="1"/>
  <c r="L199" i="2" s="1"/>
  <c r="M188" i="2"/>
  <c r="L188" i="2" s="1" a="1"/>
  <c r="L188" i="2" s="1"/>
  <c r="M178" i="2"/>
  <c r="L178" i="2" s="1" a="1"/>
  <c r="L178" i="2" s="1"/>
  <c r="M167" i="2"/>
  <c r="L167" i="2" s="1" a="1"/>
  <c r="L167" i="2" s="1"/>
  <c r="M159" i="2"/>
  <c r="L159" i="2" s="1" a="1"/>
  <c r="L159" i="2" s="1"/>
  <c r="M145" i="2"/>
  <c r="L145" i="2" s="1" a="1"/>
  <c r="L145" i="2" s="1"/>
  <c r="M136" i="2"/>
  <c r="L136" i="2" s="1" a="1"/>
  <c r="L136" i="2" s="1"/>
  <c r="M126" i="2"/>
  <c r="L126" i="2" s="1" a="1"/>
  <c r="L126" i="2" s="1"/>
  <c r="M115" i="2"/>
  <c r="L115" i="2" s="1" a="1"/>
  <c r="L115" i="2" s="1"/>
  <c r="M104" i="2"/>
  <c r="L104" i="2" s="1" a="1"/>
  <c r="L104" i="2" s="1"/>
  <c r="M93" i="2"/>
  <c r="L93" i="2" s="1" a="1"/>
  <c r="L93" i="2" s="1"/>
  <c r="M82" i="2"/>
  <c r="L82" i="2" s="1" a="1"/>
  <c r="L82" i="2" s="1"/>
  <c r="M71" i="2"/>
  <c r="L71" i="2" s="1" a="1"/>
  <c r="L71" i="2" s="1"/>
  <c r="M60" i="2"/>
  <c r="L60" i="2" s="1" a="1"/>
  <c r="L60" i="2" s="1"/>
  <c r="M46" i="2"/>
  <c r="L46" i="2" s="1" a="1"/>
  <c r="L46" i="2" s="1"/>
  <c r="M36" i="2"/>
  <c r="L36" i="2" s="1" a="1"/>
  <c r="L36" i="2" s="1"/>
  <c r="M23" i="2"/>
  <c r="L23" i="2" s="1" a="1"/>
  <c r="L23" i="2" s="1"/>
  <c r="M8" i="2"/>
  <c r="L8" i="2" s="1" a="1"/>
  <c r="L8" i="2" s="1"/>
  <c r="M266" i="2"/>
  <c r="L266" i="2" s="1" a="1"/>
  <c r="L266" i="2" s="1"/>
  <c r="M245" i="2"/>
  <c r="L245" i="2" s="1" a="1"/>
  <c r="L245" i="2" s="1"/>
  <c r="M213" i="2"/>
  <c r="L213" i="2" s="1" a="1"/>
  <c r="L213" i="2" s="1"/>
  <c r="M191" i="2"/>
  <c r="L191" i="2" s="1" a="1"/>
  <c r="L191" i="2" s="1"/>
  <c r="M169" i="2"/>
  <c r="L169" i="2" s="1" a="1"/>
  <c r="L169" i="2" s="1"/>
  <c r="M151" i="2"/>
  <c r="L151" i="2" s="1" a="1"/>
  <c r="L151" i="2" s="1"/>
  <c r="M139" i="2"/>
  <c r="L139" i="2" s="1" a="1"/>
  <c r="L139" i="2" s="1"/>
  <c r="M118" i="2"/>
  <c r="L118" i="2" s="1" a="1"/>
  <c r="L118" i="2" s="1"/>
  <c r="M108" i="2"/>
  <c r="L108" i="2" s="1" a="1"/>
  <c r="L108" i="2" s="1"/>
  <c r="M96" i="2"/>
  <c r="L96" i="2" s="1" a="1"/>
  <c r="L96" i="2" s="1"/>
  <c r="M88" i="2"/>
  <c r="L88" i="2" s="1" a="1"/>
  <c r="L88" i="2" s="1"/>
  <c r="M65" i="2"/>
  <c r="L65" i="2" s="1" a="1"/>
  <c r="L65" i="2" s="1"/>
  <c r="M49" i="2"/>
  <c r="L49" i="2" s="1" a="1"/>
  <c r="L49" i="2" s="1"/>
  <c r="M41" i="2"/>
  <c r="L41" i="2" s="1" a="1"/>
  <c r="L41" i="2" s="1"/>
  <c r="M26" i="2"/>
  <c r="L26" i="2" s="1" a="1"/>
  <c r="L26" i="2" s="1"/>
  <c r="M14" i="2"/>
  <c r="M283" i="2"/>
  <c r="L283" i="2" s="1" a="1"/>
  <c r="L283" i="2" s="1"/>
  <c r="M240" i="2"/>
  <c r="L240" i="2" s="1" a="1"/>
  <c r="L240" i="2" s="1"/>
  <c r="M146" i="2"/>
  <c r="L146" i="2" s="1" a="1"/>
  <c r="L146" i="2" s="1"/>
  <c r="M294" i="2"/>
  <c r="L294" i="2" s="1" a="1"/>
  <c r="L294" i="2" s="1"/>
  <c r="M281" i="2"/>
  <c r="L281" i="2" s="1" a="1"/>
  <c r="L281" i="2" s="1"/>
  <c r="M273" i="2"/>
  <c r="L273" i="2" s="1" a="1"/>
  <c r="L273" i="2" s="1"/>
  <c r="M260" i="2"/>
  <c r="M252" i="2"/>
  <c r="L252" i="2" s="1" a="1"/>
  <c r="L252" i="2" s="1"/>
  <c r="M238" i="2"/>
  <c r="L238" i="2" s="1" a="1"/>
  <c r="L238" i="2" s="1"/>
  <c r="M231" i="2"/>
  <c r="L231" i="2" s="1" a="1"/>
  <c r="L231" i="2" s="1"/>
  <c r="M220" i="2"/>
  <c r="L220" i="2" s="1" a="1"/>
  <c r="L220" i="2" s="1"/>
  <c r="M209" i="2"/>
  <c r="L209" i="2" s="1" a="1"/>
  <c r="L209" i="2" s="1"/>
  <c r="M198" i="2"/>
  <c r="L198" i="2" s="1" a="1"/>
  <c r="L198" i="2" s="1"/>
  <c r="M187" i="2"/>
  <c r="L187" i="2" s="1" a="1"/>
  <c r="L187" i="2" s="1"/>
  <c r="M176" i="2"/>
  <c r="L176" i="2" s="1" a="1"/>
  <c r="L176" i="2" s="1"/>
  <c r="M166" i="2"/>
  <c r="L166" i="2" s="1" a="1"/>
  <c r="L166" i="2" s="1"/>
  <c r="M156" i="2"/>
  <c r="L156" i="2" s="1" a="1"/>
  <c r="L156" i="2" s="1"/>
  <c r="M144" i="2"/>
  <c r="L144" i="2" s="1" a="1"/>
  <c r="L144" i="2" s="1"/>
  <c r="M135" i="2"/>
  <c r="L135" i="2" s="1" a="1"/>
  <c r="L135" i="2" s="1"/>
  <c r="M122" i="2"/>
  <c r="L122" i="2" s="1" a="1"/>
  <c r="L122" i="2" s="1"/>
  <c r="M114" i="2"/>
  <c r="L114" i="2" s="1" a="1"/>
  <c r="L114" i="2" s="1"/>
  <c r="M103" i="2"/>
  <c r="L103" i="2" s="1" a="1"/>
  <c r="L103" i="2" s="1"/>
  <c r="M92" i="2"/>
  <c r="L92" i="2" s="1" a="1"/>
  <c r="L92" i="2" s="1"/>
  <c r="M81" i="2"/>
  <c r="L81" i="2" s="1" a="1"/>
  <c r="L81" i="2" s="1"/>
  <c r="M70" i="2"/>
  <c r="L70" i="2" s="1" a="1"/>
  <c r="L70" i="2" s="1"/>
  <c r="M56" i="2"/>
  <c r="L56" i="2" s="1" a="1"/>
  <c r="L56" i="2" s="1"/>
  <c r="M45" i="2"/>
  <c r="L45" i="2" s="1" a="1"/>
  <c r="L45" i="2" s="1"/>
  <c r="M35" i="2"/>
  <c r="L35" i="2" s="1" a="1"/>
  <c r="L35" i="2" s="1"/>
  <c r="M22" i="2"/>
  <c r="L22" i="2" s="1" a="1"/>
  <c r="L22" i="2" s="1"/>
  <c r="M7" i="2"/>
  <c r="L7" i="2" s="1" a="1"/>
  <c r="L7" i="2" s="1"/>
  <c r="M76" i="14" a="1"/>
  <c r="M76" i="14" s="1"/>
  <c r="M38" i="14" a="1"/>
  <c r="M38" i="14" s="1"/>
  <c r="N74" i="14"/>
  <c r="N54" i="14"/>
  <c r="N29" i="14"/>
  <c r="N68" i="14"/>
  <c r="N40" i="14"/>
  <c r="N47" i="14"/>
  <c r="N64" i="14"/>
  <c r="N39" i="14"/>
  <c r="N46" i="14"/>
  <c r="N63" i="14"/>
  <c r="N27" i="14"/>
  <c r="N44" i="14"/>
  <c r="N60" i="14"/>
  <c r="N6" i="14"/>
  <c r="N43" i="14"/>
  <c r="N75" i="14"/>
  <c r="M75" i="14" s="1" a="1"/>
  <c r="M75" i="14" s="1"/>
  <c r="N55" i="14"/>
  <c r="N50" i="14"/>
  <c r="N83" i="14"/>
  <c r="N58" i="14"/>
  <c r="N51" i="14"/>
  <c r="N80" i="14"/>
  <c r="N57" i="14"/>
  <c r="N37" i="14"/>
  <c r="R43" i="14" a="1"/>
  <c r="R43" i="14" s="1"/>
  <c r="R75" i="14" a="1"/>
  <c r="R75" i="14" s="1"/>
  <c r="R55" i="14" a="1"/>
  <c r="R55" i="14" s="1"/>
  <c r="L300" i="2" a="1"/>
  <c r="L300" i="2" s="1"/>
  <c r="M78" i="14" a="1"/>
  <c r="M78" i="14" s="1"/>
  <c r="M31" i="14" a="1"/>
  <c r="M31" i="14" s="1"/>
  <c r="M67" i="14" a="1"/>
  <c r="M67" i="14" s="1"/>
  <c r="M72" i="14" a="1"/>
  <c r="M72" i="14" s="1"/>
  <c r="E26" i="30"/>
  <c r="M65" i="14" a="1"/>
  <c r="M65" i="14" s="1"/>
  <c r="M49" i="14" a="1"/>
  <c r="M49" i="14" s="1"/>
  <c r="M53" i="14" a="1"/>
  <c r="M53" i="14" s="1"/>
  <c r="M56" i="14" a="1"/>
  <c r="M56" i="14" s="1"/>
  <c r="M42" i="14" a="1"/>
  <c r="M42" i="14" s="1"/>
  <c r="M30" i="14" a="1"/>
  <c r="M30" i="14" s="1"/>
  <c r="M5" i="14" a="1"/>
  <c r="M5" i="14" s="1"/>
  <c r="M8" i="14" a="1"/>
  <c r="M8" i="14" s="1"/>
  <c r="M41" i="14" a="1"/>
  <c r="M41" i="14" s="1"/>
  <c r="M59" i="14" a="1"/>
  <c r="M59" i="14" s="1"/>
  <c r="M52" i="14" a="1"/>
  <c r="M52" i="14" s="1"/>
  <c r="M61" i="14" a="1"/>
  <c r="M61" i="14" s="1"/>
  <c r="M82" i="14" a="1"/>
  <c r="M82" i="14" s="1"/>
  <c r="M70" i="14" a="1"/>
  <c r="M70" i="14" s="1"/>
  <c r="M69" i="14" a="1"/>
  <c r="M69" i="14" s="1"/>
  <c r="M9" i="14" a="1"/>
  <c r="M9" i="14" s="1"/>
  <c r="M77" i="14" a="1"/>
  <c r="M77" i="14" s="1"/>
  <c r="M66" i="14" a="1"/>
  <c r="M66" i="14" s="1"/>
  <c r="M45" i="14" a="1"/>
  <c r="M45" i="14" s="1"/>
  <c r="M62" i="14" a="1"/>
  <c r="M62" i="14" s="1"/>
  <c r="M26" i="14" a="1"/>
  <c r="M26" i="14" s="1"/>
  <c r="M48" i="14" a="1"/>
  <c r="M48" i="14" s="1"/>
  <c r="M7" i="14" a="1"/>
  <c r="M7" i="14" s="1"/>
  <c r="M28" i="14" a="1"/>
  <c r="M28" i="14" s="1"/>
  <c r="M79" i="14" a="1"/>
  <c r="M79" i="14" s="1"/>
  <c r="H26" i="31" a="1"/>
  <c r="H26" i="31" s="1"/>
  <c r="D26" i="31" a="1"/>
  <c r="D26" i="31" s="1"/>
  <c r="G26" i="31" a="1"/>
  <c r="G26" i="31" s="1"/>
  <c r="H8" i="29"/>
  <c r="R58" i="14" a="1"/>
  <c r="R58" i="14" s="1"/>
  <c r="L58" i="14" a="1"/>
  <c r="L58" i="14" s="1"/>
  <c r="E8" i="29"/>
  <c r="K8" i="29"/>
  <c r="E6" i="29"/>
  <c r="E7" i="29"/>
  <c r="H25" i="30" a="1"/>
  <c r="H25" i="30" s="1"/>
  <c r="H45" i="30" s="1"/>
  <c r="C14" i="30" s="1"/>
  <c r="G6" i="29"/>
  <c r="I6" i="29"/>
  <c r="K7" i="29"/>
  <c r="H23" i="31"/>
  <c r="J8" i="29"/>
  <c r="K6" i="29"/>
  <c r="A1" i="28"/>
  <c r="L21" i="2" l="1" a="1"/>
  <c r="L21" i="2" s="1"/>
  <c r="N3" i="2"/>
  <c r="L14" i="2" a="1"/>
  <c r="L14" i="2" s="1"/>
  <c r="L11" i="2" a="1"/>
  <c r="L11" i="2" s="1"/>
  <c r="L17" i="2" a="1"/>
  <c r="L17" i="2" s="1"/>
  <c r="L20" i="2" a="1"/>
  <c r="L20" i="2" s="1"/>
  <c r="L10" i="2" a="1"/>
  <c r="L10" i="2" s="1"/>
  <c r="O3" i="14"/>
  <c r="M83" i="14" a="1"/>
  <c r="M83" i="14" s="1"/>
  <c r="M43" i="14" a="1"/>
  <c r="M43" i="14" s="1"/>
  <c r="M55" i="14" a="1"/>
  <c r="M55" i="14" s="1"/>
  <c r="M39" i="14" a="1"/>
  <c r="M39" i="14" s="1"/>
  <c r="M54" i="14" a="1"/>
  <c r="M54" i="14" s="1"/>
  <c r="M51" i="14" a="1"/>
  <c r="M51" i="14" s="1"/>
  <c r="L276" i="2" a="1"/>
  <c r="L276" i="2" s="1"/>
  <c r="L260" i="2" a="1"/>
  <c r="L260" i="2" s="1"/>
  <c r="L292" i="2" a="1"/>
  <c r="L292" i="2" s="1"/>
  <c r="L268" i="2" a="1"/>
  <c r="L268" i="2" s="1"/>
  <c r="L284" i="2" a="1"/>
  <c r="L284" i="2" s="1"/>
  <c r="M63" i="14" a="1"/>
  <c r="M63" i="14" s="1"/>
  <c r="M57" i="14" a="1"/>
  <c r="M57" i="14" s="1"/>
  <c r="M58" i="14" a="1"/>
  <c r="M58" i="14" s="1"/>
  <c r="M47" i="14" a="1"/>
  <c r="M47" i="14" s="1"/>
  <c r="F3" i="29"/>
  <c r="M40" i="14" a="1"/>
  <c r="M40" i="14" s="1"/>
  <c r="M44" i="14" a="1"/>
  <c r="M44" i="14" s="1"/>
  <c r="M64" i="14" a="1"/>
  <c r="M64" i="14" s="1"/>
  <c r="M6" i="14" a="1"/>
  <c r="M6" i="14" s="1"/>
  <c r="M68" i="14" a="1"/>
  <c r="M68" i="14" s="1"/>
  <c r="M37" i="14" a="1"/>
  <c r="M37" i="14" s="1"/>
  <c r="M27" i="14" a="1"/>
  <c r="M27" i="14" s="1"/>
  <c r="M74" i="14" a="1"/>
  <c r="M74" i="14" s="1"/>
  <c r="M46" i="14" a="1"/>
  <c r="M46" i="14" s="1"/>
  <c r="M50" i="14" a="1"/>
  <c r="M50" i="14" s="1"/>
  <c r="M29" i="14" a="1"/>
  <c r="M29" i="14" s="1"/>
  <c r="M60" i="14" a="1"/>
  <c r="M60" i="14" s="1"/>
  <c r="M80" i="14" a="1"/>
  <c r="M80" i="14" s="1"/>
  <c r="F25" i="30" a="1"/>
  <c r="F25" i="30" s="1"/>
  <c r="F45" i="30" s="1"/>
  <c r="I3" i="29"/>
  <c r="E3" i="29"/>
  <c r="H3" i="29"/>
  <c r="G3" i="29"/>
  <c r="K3" i="29"/>
  <c r="J3" i="29"/>
  <c r="C55" i="31" a="1"/>
  <c r="C55" i="31" s="1"/>
  <c r="C60" i="31" a="1"/>
  <c r="C60" i="31" s="1"/>
  <c r="G60" i="31" s="1" a="1"/>
  <c r="G60" i="31" s="1"/>
  <c r="C43" i="31" a="1"/>
  <c r="C43" i="31" s="1"/>
  <c r="G43" i="31" s="1" a="1"/>
  <c r="G43" i="31" s="1"/>
  <c r="D31" i="31" a="1"/>
  <c r="D31" i="31" s="1"/>
  <c r="C40" i="31" a="1"/>
  <c r="C40" i="31" s="1"/>
  <c r="D47" i="31" a="1"/>
  <c r="D47" i="31" s="1"/>
  <c r="C48" i="31" a="1"/>
  <c r="C48" i="31" s="1"/>
  <c r="G48" i="31" s="1" a="1"/>
  <c r="G48" i="31" s="1"/>
  <c r="D44" i="31" a="1"/>
  <c r="D44" i="31" s="1"/>
  <c r="D41" i="31" a="1"/>
  <c r="D41" i="31" s="1"/>
  <c r="D38" i="31" a="1"/>
  <c r="D38" i="31" s="1"/>
  <c r="D54" i="31" a="1"/>
  <c r="D54" i="31" s="1"/>
  <c r="D48" i="31" a="1"/>
  <c r="D48" i="31" s="1"/>
  <c r="D53" i="31" a="1"/>
  <c r="D53" i="31" s="1"/>
  <c r="C56" i="31" a="1"/>
  <c r="C56" i="31" s="1"/>
  <c r="D52" i="31" a="1"/>
  <c r="D52" i="31" s="1"/>
  <c r="D49" i="31" a="1"/>
  <c r="D49" i="31" s="1"/>
  <c r="D42" i="31" a="1"/>
  <c r="D42" i="31" s="1"/>
  <c r="D58" i="31" a="1"/>
  <c r="D58" i="31" s="1"/>
  <c r="D56" i="31" a="1"/>
  <c r="D56" i="31" s="1"/>
  <c r="D35" i="31" a="1"/>
  <c r="D35" i="31" s="1"/>
  <c r="D51" i="31" a="1"/>
  <c r="D51" i="31" s="1"/>
  <c r="C50" i="31" a="1"/>
  <c r="C50" i="31" s="1"/>
  <c r="D60" i="31" a="1"/>
  <c r="D60" i="31" s="1"/>
  <c r="D57" i="31" a="1"/>
  <c r="D57" i="31" s="1"/>
  <c r="D46" i="31" a="1"/>
  <c r="D46" i="31" s="1"/>
  <c r="D32" i="31" a="1"/>
  <c r="D32" i="31" s="1"/>
  <c r="D37" i="31" a="1"/>
  <c r="D37" i="31" s="1"/>
  <c r="D39" i="31" a="1"/>
  <c r="D39" i="31" s="1"/>
  <c r="D55" i="31" a="1"/>
  <c r="D55" i="31" s="1"/>
  <c r="D36" i="31" a="1"/>
  <c r="D36" i="31" s="1"/>
  <c r="D33" i="31" a="1"/>
  <c r="D33" i="31" s="1"/>
  <c r="D34" i="31" a="1"/>
  <c r="D34" i="31" s="1"/>
  <c r="D50" i="31" a="1"/>
  <c r="D50" i="31" s="1"/>
  <c r="D40" i="31" a="1"/>
  <c r="D40" i="31" s="1"/>
  <c r="D45" i="31" a="1"/>
  <c r="D45" i="31" s="1"/>
  <c r="D43" i="31" a="1"/>
  <c r="D43" i="31" s="1"/>
  <c r="D59" i="31" a="1"/>
  <c r="D59" i="31" s="1"/>
  <c r="C44" i="31" a="1"/>
  <c r="C44" i="31" s="1"/>
  <c r="G44" i="31" s="1" a="1"/>
  <c r="G44" i="31" s="1"/>
  <c r="C34" i="31" a="1"/>
  <c r="C34" i="31" s="1"/>
  <c r="G34" i="31" s="1" a="1"/>
  <c r="G34" i="31" s="1"/>
  <c r="C41" i="31" a="1"/>
  <c r="C41" i="31" s="1"/>
  <c r="G41" i="31" s="1" a="1"/>
  <c r="G41" i="31" s="1"/>
  <c r="C46" i="31" a="1"/>
  <c r="C46" i="31" s="1"/>
  <c r="G46" i="31" s="1" a="1"/>
  <c r="G46" i="31" s="1"/>
  <c r="C36" i="31" a="1"/>
  <c r="C36" i="31" s="1"/>
  <c r="G36" i="31" s="1" a="1"/>
  <c r="G36" i="31" s="1"/>
  <c r="C57" i="31" a="1"/>
  <c r="C57" i="31" s="1"/>
  <c r="G57" i="31" s="1" a="1"/>
  <c r="G57" i="31" s="1"/>
  <c r="C51" i="31" a="1"/>
  <c r="C51" i="31" s="1"/>
  <c r="G51" i="31" s="1" a="1"/>
  <c r="G51" i="31" s="1"/>
  <c r="C33" i="31" a="1"/>
  <c r="C33" i="31" s="1"/>
  <c r="G33" i="31" s="1" a="1"/>
  <c r="G33" i="31" s="1"/>
  <c r="C58" i="31" a="1"/>
  <c r="C58" i="31" s="1"/>
  <c r="G58" i="31" s="1" a="1"/>
  <c r="G58" i="31" s="1"/>
  <c r="C39" i="31" a="1"/>
  <c r="C39" i="31" s="1"/>
  <c r="G39" i="31" s="1" a="1"/>
  <c r="G39" i="31" s="1"/>
  <c r="C52" i="31" a="1"/>
  <c r="C52" i="31" s="1"/>
  <c r="G52" i="31" s="1" a="1"/>
  <c r="G52" i="31" s="1"/>
  <c r="C59" i="31" a="1"/>
  <c r="C59" i="31" s="1"/>
  <c r="G59" i="31" s="1" a="1"/>
  <c r="G59" i="31" s="1"/>
  <c r="C42" i="31" a="1"/>
  <c r="C42" i="31" s="1"/>
  <c r="G42" i="31" s="1" a="1"/>
  <c r="G42" i="31" s="1"/>
  <c r="C54" i="31" a="1"/>
  <c r="C54" i="31" s="1"/>
  <c r="G54" i="31" s="1" a="1"/>
  <c r="G54" i="31" s="1"/>
  <c r="C31" i="31" a="1"/>
  <c r="C31" i="31" s="1"/>
  <c r="G31" i="31" s="1" a="1"/>
  <c r="G31" i="31" s="1"/>
  <c r="C49" i="31" a="1"/>
  <c r="C49" i="31" s="1"/>
  <c r="G49" i="31" s="1" a="1"/>
  <c r="G49" i="31" s="1"/>
  <c r="C37" i="31" a="1"/>
  <c r="C37" i="31" s="1"/>
  <c r="G37" i="31" s="1" a="1"/>
  <c r="G37" i="31" s="1"/>
  <c r="C32" i="31" a="1"/>
  <c r="C32" i="31" s="1"/>
  <c r="G32" i="31" s="1" a="1"/>
  <c r="G32" i="31" s="1"/>
  <c r="C53" i="31" a="1"/>
  <c r="C53" i="31" s="1"/>
  <c r="G53" i="31" s="1" a="1"/>
  <c r="G53" i="31" s="1"/>
  <c r="C38" i="31" a="1"/>
  <c r="C38" i="31" s="1"/>
  <c r="G38" i="31" s="1" a="1"/>
  <c r="G38" i="31" s="1"/>
  <c r="C45" i="31" a="1"/>
  <c r="C45" i="31" s="1"/>
  <c r="G45" i="31" s="1" a="1"/>
  <c r="G45" i="31" s="1"/>
  <c r="C35" i="31" a="1"/>
  <c r="C35" i="31" s="1"/>
  <c r="G35" i="31" s="1" a="1"/>
  <c r="G35" i="31" s="1"/>
  <c r="C47" i="31" a="1"/>
  <c r="C47" i="31" s="1"/>
  <c r="G47" i="31" s="1" a="1"/>
  <c r="G47" i="31" s="1"/>
  <c r="A1" i="27"/>
  <c r="L2" i="2"/>
  <c r="K19" i="2" s="1"/>
  <c r="K12" i="2" l="1"/>
  <c r="K15" i="2"/>
  <c r="K18" i="2"/>
  <c r="K13" i="2"/>
  <c r="K9" i="2"/>
  <c r="K16" i="2"/>
  <c r="E43" i="31"/>
  <c r="E25" i="30"/>
  <c r="E45" i="30" s="1"/>
  <c r="E55" i="31"/>
  <c r="G55" i="31" a="1"/>
  <c r="G55" i="31" s="1"/>
  <c r="H50" i="31"/>
  <c r="G50" i="31" a="1"/>
  <c r="G50" i="31" s="1"/>
  <c r="E56" i="31"/>
  <c r="G56" i="31" a="1"/>
  <c r="G56" i="31" s="1"/>
  <c r="E40" i="31"/>
  <c r="G40" i="31" a="1"/>
  <c r="G40" i="31" s="1"/>
  <c r="H55" i="31"/>
  <c r="H60" i="31"/>
  <c r="E60" i="31"/>
  <c r="E48" i="31"/>
  <c r="E50" i="31"/>
  <c r="E44" i="31"/>
  <c r="H56" i="31"/>
  <c r="E47" i="31"/>
  <c r="E45" i="31"/>
  <c r="H54" i="31"/>
  <c r="E54" i="31"/>
  <c r="E39" i="31"/>
  <c r="E58" i="31"/>
  <c r="H58" i="31"/>
  <c r="E36" i="31"/>
  <c r="E35" i="31"/>
  <c r="E37" i="31"/>
  <c r="E38" i="31"/>
  <c r="E42" i="31"/>
  <c r="E33" i="31"/>
  <c r="E46" i="31"/>
  <c r="E53" i="31"/>
  <c r="H53" i="31"/>
  <c r="H49" i="31"/>
  <c r="E49" i="31"/>
  <c r="H59" i="31"/>
  <c r="E59" i="31"/>
  <c r="E51" i="31"/>
  <c r="H51" i="31"/>
  <c r="E41" i="31"/>
  <c r="E32" i="31"/>
  <c r="E52" i="31"/>
  <c r="H52" i="31"/>
  <c r="E57" i="31"/>
  <c r="H57" i="31"/>
  <c r="E34" i="31"/>
  <c r="K5" i="2"/>
  <c r="K10" i="2"/>
  <c r="K20" i="2"/>
  <c r="K24" i="2"/>
  <c r="K28" i="2"/>
  <c r="K32" i="2"/>
  <c r="K36" i="2"/>
  <c r="K40" i="2"/>
  <c r="K44" i="2"/>
  <c r="K48" i="2"/>
  <c r="K52" i="2"/>
  <c r="K56" i="2"/>
  <c r="K60" i="2"/>
  <c r="K64" i="2"/>
  <c r="K68" i="2"/>
  <c r="K72" i="2"/>
  <c r="K76" i="2"/>
  <c r="K80" i="2"/>
  <c r="K84" i="2"/>
  <c r="K88" i="2"/>
  <c r="K92" i="2"/>
  <c r="K96" i="2"/>
  <c r="K100" i="2"/>
  <c r="K104" i="2"/>
  <c r="K108" i="2"/>
  <c r="K112" i="2"/>
  <c r="K116" i="2"/>
  <c r="K120" i="2"/>
  <c r="K124" i="2"/>
  <c r="K128" i="2"/>
  <c r="K132" i="2"/>
  <c r="K136" i="2"/>
  <c r="K140" i="2"/>
  <c r="K144" i="2"/>
  <c r="K148" i="2"/>
  <c r="K152" i="2"/>
  <c r="K156" i="2"/>
  <c r="K160" i="2"/>
  <c r="K164" i="2"/>
  <c r="K168" i="2"/>
  <c r="K172" i="2"/>
  <c r="K176" i="2"/>
  <c r="K180" i="2"/>
  <c r="K184" i="2"/>
  <c r="K188" i="2"/>
  <c r="K192" i="2"/>
  <c r="K196" i="2"/>
  <c r="K200" i="2"/>
  <c r="K204" i="2"/>
  <c r="K208" i="2"/>
  <c r="K212" i="2"/>
  <c r="K216" i="2"/>
  <c r="K220" i="2"/>
  <c r="K224" i="2"/>
  <c r="K228" i="2"/>
  <c r="K232" i="2"/>
  <c r="K236" i="2"/>
  <c r="K240" i="2"/>
  <c r="K244" i="2"/>
  <c r="K248" i="2"/>
  <c r="K252" i="2"/>
  <c r="K256" i="2"/>
  <c r="K260" i="2"/>
  <c r="K264" i="2"/>
  <c r="K268" i="2"/>
  <c r="K272" i="2"/>
  <c r="K276" i="2"/>
  <c r="K280" i="2"/>
  <c r="K284" i="2"/>
  <c r="K288" i="2"/>
  <c r="K292" i="2"/>
  <c r="K296" i="2"/>
  <c r="K300" i="2"/>
  <c r="K6" i="2"/>
  <c r="K11" i="2"/>
  <c r="K21" i="2"/>
  <c r="K25" i="2"/>
  <c r="K29" i="2"/>
  <c r="K33" i="2"/>
  <c r="K37" i="2"/>
  <c r="K41" i="2"/>
  <c r="K45" i="2"/>
  <c r="K49" i="2"/>
  <c r="K53" i="2"/>
  <c r="K57" i="2"/>
  <c r="K61" i="2"/>
  <c r="K65" i="2"/>
  <c r="K69" i="2"/>
  <c r="K73" i="2"/>
  <c r="K77" i="2"/>
  <c r="K81" i="2"/>
  <c r="K85" i="2"/>
  <c r="K89" i="2"/>
  <c r="K93" i="2"/>
  <c r="K97" i="2"/>
  <c r="K101" i="2"/>
  <c r="K105" i="2"/>
  <c r="K109" i="2"/>
  <c r="K113" i="2"/>
  <c r="K117" i="2"/>
  <c r="K121" i="2"/>
  <c r="K125" i="2"/>
  <c r="K129" i="2"/>
  <c r="K133" i="2"/>
  <c r="K137" i="2"/>
  <c r="K141" i="2"/>
  <c r="K145" i="2"/>
  <c r="K149" i="2"/>
  <c r="K153" i="2"/>
  <c r="K157" i="2"/>
  <c r="K161" i="2"/>
  <c r="K165" i="2"/>
  <c r="K169" i="2"/>
  <c r="K173" i="2"/>
  <c r="K177" i="2"/>
  <c r="K181" i="2"/>
  <c r="K185" i="2"/>
  <c r="K189" i="2"/>
  <c r="K193" i="2"/>
  <c r="K197" i="2"/>
  <c r="K201" i="2"/>
  <c r="K205" i="2"/>
  <c r="K209" i="2"/>
  <c r="K213" i="2"/>
  <c r="K217" i="2"/>
  <c r="K221" i="2"/>
  <c r="K225" i="2"/>
  <c r="K229" i="2"/>
  <c r="K233" i="2"/>
  <c r="K237" i="2"/>
  <c r="K241" i="2"/>
  <c r="K245" i="2"/>
  <c r="K249" i="2"/>
  <c r="K253" i="2"/>
  <c r="K257" i="2"/>
  <c r="K261" i="2"/>
  <c r="K265" i="2"/>
  <c r="K269" i="2"/>
  <c r="K273" i="2"/>
  <c r="K277" i="2"/>
  <c r="K281" i="2"/>
  <c r="K285" i="2"/>
  <c r="K289" i="2"/>
  <c r="K293" i="2"/>
  <c r="K297" i="2"/>
  <c r="K7" i="2"/>
  <c r="K14" i="2"/>
  <c r="K22" i="2"/>
  <c r="K26" i="2"/>
  <c r="K30" i="2"/>
  <c r="K34" i="2"/>
  <c r="K38" i="2"/>
  <c r="K42" i="2"/>
  <c r="K46" i="2"/>
  <c r="K50" i="2"/>
  <c r="K54" i="2"/>
  <c r="K58" i="2"/>
  <c r="K62" i="2"/>
  <c r="K66" i="2"/>
  <c r="K70" i="2"/>
  <c r="K74" i="2"/>
  <c r="K78" i="2"/>
  <c r="K82" i="2"/>
  <c r="K86" i="2"/>
  <c r="K90" i="2"/>
  <c r="K94" i="2"/>
  <c r="K98" i="2"/>
  <c r="K102" i="2"/>
  <c r="K106" i="2"/>
  <c r="K110" i="2"/>
  <c r="K114" i="2"/>
  <c r="K118" i="2"/>
  <c r="K122" i="2"/>
  <c r="K126" i="2"/>
  <c r="K130" i="2"/>
  <c r="K134" i="2"/>
  <c r="K138" i="2"/>
  <c r="K142" i="2"/>
  <c r="K146" i="2"/>
  <c r="K150" i="2"/>
  <c r="K154" i="2"/>
  <c r="K158" i="2"/>
  <c r="K162" i="2"/>
  <c r="K166" i="2"/>
  <c r="K170" i="2"/>
  <c r="K174" i="2"/>
  <c r="K178" i="2"/>
  <c r="K182" i="2"/>
  <c r="K186" i="2"/>
  <c r="K190" i="2"/>
  <c r="K194" i="2"/>
  <c r="K198" i="2"/>
  <c r="K202" i="2"/>
  <c r="K206" i="2"/>
  <c r="K210" i="2"/>
  <c r="K214" i="2"/>
  <c r="K218" i="2"/>
  <c r="K222" i="2"/>
  <c r="K226" i="2"/>
  <c r="K230" i="2"/>
  <c r="K234" i="2"/>
  <c r="K238" i="2"/>
  <c r="K242" i="2"/>
  <c r="K246" i="2"/>
  <c r="K250" i="2"/>
  <c r="K254" i="2"/>
  <c r="K258" i="2"/>
  <c r="K262" i="2"/>
  <c r="K266" i="2"/>
  <c r="K270" i="2"/>
  <c r="K274" i="2"/>
  <c r="K278" i="2"/>
  <c r="K282" i="2"/>
  <c r="K286" i="2"/>
  <c r="K290" i="2"/>
  <c r="K294" i="2"/>
  <c r="K298" i="2"/>
  <c r="K8" i="2"/>
  <c r="K17" i="2"/>
  <c r="K23" i="2"/>
  <c r="K27" i="2"/>
  <c r="K31" i="2"/>
  <c r="K35" i="2"/>
  <c r="K39" i="2"/>
  <c r="K43" i="2"/>
  <c r="K47" i="2"/>
  <c r="K51" i="2"/>
  <c r="K55" i="2"/>
  <c r="K59" i="2"/>
  <c r="K63" i="2"/>
  <c r="K67" i="2"/>
  <c r="K71" i="2"/>
  <c r="K75" i="2"/>
  <c r="K79" i="2"/>
  <c r="K83" i="2"/>
  <c r="K87" i="2"/>
  <c r="K91" i="2"/>
  <c r="K95" i="2"/>
  <c r="K99" i="2"/>
  <c r="K103" i="2"/>
  <c r="K107" i="2"/>
  <c r="K111" i="2"/>
  <c r="K115" i="2"/>
  <c r="K119" i="2"/>
  <c r="K123" i="2"/>
  <c r="K127" i="2"/>
  <c r="K131" i="2"/>
  <c r="K135" i="2"/>
  <c r="K139" i="2"/>
  <c r="K143" i="2"/>
  <c r="K147" i="2"/>
  <c r="K151" i="2"/>
  <c r="K155" i="2"/>
  <c r="K159" i="2"/>
  <c r="K163" i="2"/>
  <c r="K167" i="2"/>
  <c r="K171" i="2"/>
  <c r="K175" i="2"/>
  <c r="K179" i="2"/>
  <c r="K183" i="2"/>
  <c r="K187" i="2"/>
  <c r="K191" i="2"/>
  <c r="K195" i="2"/>
  <c r="K199" i="2"/>
  <c r="K203" i="2"/>
  <c r="K207" i="2"/>
  <c r="K211" i="2"/>
  <c r="K215" i="2"/>
  <c r="K219" i="2"/>
  <c r="K223" i="2"/>
  <c r="K227" i="2"/>
  <c r="K231" i="2"/>
  <c r="K235" i="2"/>
  <c r="K239" i="2"/>
  <c r="K243" i="2"/>
  <c r="K247" i="2"/>
  <c r="K251" i="2"/>
  <c r="K255" i="2"/>
  <c r="K259" i="2"/>
  <c r="K263" i="2"/>
  <c r="K267" i="2"/>
  <c r="K271" i="2"/>
  <c r="K275" i="2"/>
  <c r="K279" i="2"/>
  <c r="K283" i="2"/>
  <c r="K287" i="2"/>
  <c r="K291" i="2"/>
  <c r="K295" i="2"/>
  <c r="K299" i="2"/>
  <c r="M2" i="14"/>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2" i="3"/>
  <c r="H41" i="3"/>
  <c r="H40" i="3"/>
  <c r="B7" i="17"/>
  <c r="J3" i="14"/>
  <c r="P5" i="2"/>
  <c r="P7" i="2"/>
  <c r="P8" i="2"/>
  <c r="P10" i="2"/>
  <c r="P11" i="2"/>
  <c r="P14" i="2"/>
  <c r="P17" i="2"/>
  <c r="P20" i="2"/>
  <c r="P21" i="2"/>
  <c r="P22" i="2"/>
  <c r="P23" i="2"/>
  <c r="P24" i="2"/>
  <c r="P25" i="2"/>
  <c r="P26" i="2"/>
  <c r="P27" i="2"/>
  <c r="P32" i="2"/>
  <c r="P33" i="2"/>
  <c r="P35" i="2"/>
  <c r="P36" i="2"/>
  <c r="P39" i="2"/>
  <c r="P40" i="2"/>
  <c r="P41" i="2"/>
  <c r="P42" i="2"/>
  <c r="P43" i="2"/>
  <c r="P44" i="2"/>
  <c r="P45" i="2"/>
  <c r="P46" i="2"/>
  <c r="P47" i="2"/>
  <c r="P48" i="2"/>
  <c r="P49" i="2"/>
  <c r="P50" i="2"/>
  <c r="P54" i="2"/>
  <c r="P55" i="2"/>
  <c r="P56" i="2"/>
  <c r="P60" i="2"/>
  <c r="P61" i="2"/>
  <c r="P62" i="2"/>
  <c r="P65" i="2"/>
  <c r="P66" i="2"/>
  <c r="P68" i="2"/>
  <c r="P69" i="2"/>
  <c r="P70" i="2"/>
  <c r="P71" i="2"/>
  <c r="P72" i="2"/>
  <c r="P73" i="2"/>
  <c r="P74" i="2"/>
  <c r="P75" i="2"/>
  <c r="P76" i="2"/>
  <c r="P80" i="2"/>
  <c r="P81" i="2"/>
  <c r="P82" i="2"/>
  <c r="P84" i="2"/>
  <c r="P85" i="2"/>
  <c r="P88" i="2"/>
  <c r="P89" i="2"/>
  <c r="P90" i="2"/>
  <c r="P91" i="2"/>
  <c r="P92" i="2"/>
  <c r="P93" i="2"/>
  <c r="P94" i="2"/>
  <c r="P95" i="2"/>
  <c r="P96" i="2"/>
  <c r="P97" i="2"/>
  <c r="P98" i="2"/>
  <c r="P99" i="2"/>
  <c r="P103" i="2"/>
  <c r="P104" i="2"/>
  <c r="P106" i="2"/>
  <c r="P107" i="2"/>
  <c r="P108" i="2"/>
  <c r="P111" i="2"/>
  <c r="P112" i="2"/>
  <c r="P113" i="2"/>
  <c r="P114" i="2"/>
  <c r="P115" i="2"/>
  <c r="P116" i="2"/>
  <c r="P117" i="2"/>
  <c r="P118" i="2"/>
  <c r="P119" i="2"/>
  <c r="P120" i="2"/>
  <c r="P121" i="2"/>
  <c r="P122" i="2"/>
  <c r="P126" i="2"/>
  <c r="P127" i="2"/>
  <c r="P129" i="2"/>
  <c r="P130" i="2"/>
  <c r="P133" i="2"/>
  <c r="P67" i="2"/>
  <c r="P134" i="2"/>
  <c r="P135" i="2"/>
  <c r="P136" i="2"/>
  <c r="P137" i="2"/>
  <c r="P138" i="2"/>
  <c r="P139" i="2"/>
  <c r="P140" i="2"/>
  <c r="P142" i="2"/>
  <c r="P143" i="2"/>
  <c r="P144" i="2"/>
  <c r="P145" i="2"/>
  <c r="P146" i="2"/>
  <c r="P150" i="2"/>
  <c r="P151" i="2"/>
  <c r="P152" i="2"/>
  <c r="P153" i="2"/>
  <c r="P155" i="2"/>
  <c r="P156" i="2"/>
  <c r="P159" i="2"/>
  <c r="P160" i="2"/>
  <c r="P161" i="2"/>
  <c r="P162" i="2"/>
  <c r="P163" i="2"/>
  <c r="P164" i="2"/>
  <c r="P165" i="2"/>
  <c r="P166" i="2"/>
  <c r="P167" i="2"/>
  <c r="P141" i="2"/>
  <c r="P168" i="2"/>
  <c r="P169" i="2"/>
  <c r="P170" i="2"/>
  <c r="P171" i="2"/>
  <c r="P175" i="2"/>
  <c r="P176" i="2"/>
  <c r="P178" i="2"/>
  <c r="P179" i="2"/>
  <c r="P180" i="2"/>
  <c r="P181" i="2"/>
  <c r="P184" i="2"/>
  <c r="P185" i="2"/>
  <c r="P186" i="2"/>
  <c r="P187" i="2"/>
  <c r="P188" i="2"/>
  <c r="P189" i="2"/>
  <c r="P190" i="2"/>
  <c r="P191" i="2"/>
  <c r="P192" i="2"/>
  <c r="P193" i="2"/>
  <c r="P194" i="2"/>
  <c r="P198" i="2"/>
  <c r="P199" i="2"/>
  <c r="P200" i="2"/>
  <c r="P202" i="2"/>
  <c r="P203" i="2"/>
  <c r="P204" i="2"/>
  <c r="P207" i="2"/>
  <c r="P208" i="2"/>
  <c r="P209" i="2"/>
  <c r="P210" i="2"/>
  <c r="P211" i="2"/>
  <c r="P212" i="2"/>
  <c r="P213" i="2"/>
  <c r="P214" i="2"/>
  <c r="P215" i="2"/>
  <c r="P216" i="2"/>
  <c r="P220" i="2"/>
  <c r="P221" i="2"/>
  <c r="P223" i="2"/>
  <c r="P224" i="2"/>
  <c r="P227" i="2"/>
  <c r="P228" i="2"/>
  <c r="P229" i="2"/>
  <c r="P230" i="2"/>
  <c r="P231" i="2"/>
  <c r="P232" i="2"/>
  <c r="P6" i="2"/>
  <c r="P233" i="2"/>
  <c r="P234" i="2"/>
  <c r="P235" i="2"/>
  <c r="P236" i="2"/>
  <c r="P237" i="2"/>
  <c r="P238" i="2"/>
  <c r="P239" i="2"/>
  <c r="P240" i="2"/>
  <c r="P244" i="2"/>
  <c r="P245" i="2"/>
  <c r="P247" i="2"/>
  <c r="P248" i="2"/>
  <c r="P251" i="2"/>
  <c r="P252" i="2"/>
  <c r="P253" i="2"/>
  <c r="P254" i="2"/>
  <c r="P255" i="2"/>
  <c r="P256" i="2"/>
  <c r="P257" i="2"/>
  <c r="P258" i="2"/>
  <c r="P259" i="2"/>
  <c r="P260" i="2"/>
  <c r="P261" i="2"/>
  <c r="P288" i="2"/>
  <c r="P265" i="2"/>
  <c r="P266" i="2"/>
  <c r="P268" i="2"/>
  <c r="P269" i="2"/>
  <c r="P272" i="2"/>
  <c r="P273" i="2"/>
  <c r="P274" i="2"/>
  <c r="P275" i="2"/>
  <c r="P276" i="2"/>
  <c r="P277" i="2"/>
  <c r="P278" i="2"/>
  <c r="P279" i="2"/>
  <c r="P280" i="2"/>
  <c r="P281" i="2"/>
  <c r="P282" i="2"/>
  <c r="P283" i="2"/>
  <c r="P284" i="2"/>
  <c r="P289" i="2"/>
  <c r="P290" i="2"/>
  <c r="P291" i="2"/>
  <c r="P292" i="2"/>
  <c r="P294" i="2"/>
  <c r="P296" i="2"/>
  <c r="P297" i="2"/>
  <c r="A31" i="17"/>
  <c r="A34" i="17"/>
  <c r="A32" i="17"/>
  <c r="A30" i="17"/>
  <c r="A17" i="17"/>
  <c r="H81" i="3"/>
  <c r="A81" i="3" s="1"/>
  <c r="H80" i="3"/>
  <c r="A80" i="3" s="1"/>
  <c r="L32" i="14" l="1" a="1"/>
  <c r="L32" i="14" s="1"/>
  <c r="L33" i="14" a="1"/>
  <c r="L33" i="14" s="1"/>
  <c r="L10" i="14" a="1"/>
  <c r="L10" i="14" s="1"/>
  <c r="E48" i="13"/>
  <c r="E50" i="13"/>
  <c r="E49" i="13"/>
  <c r="E37" i="13"/>
  <c r="E41" i="13"/>
  <c r="E34" i="13"/>
  <c r="E36" i="13"/>
  <c r="E38" i="13"/>
  <c r="E40" i="13"/>
  <c r="E42" i="13"/>
  <c r="E44" i="13"/>
  <c r="E46" i="13"/>
  <c r="E39" i="13"/>
  <c r="E45" i="13"/>
  <c r="E35" i="13"/>
  <c r="E43" i="13"/>
  <c r="E47" i="13"/>
  <c r="H36" i="3"/>
  <c r="L71" i="14" a="1"/>
  <c r="L71" i="14" s="1"/>
  <c r="L5" i="14" a="1"/>
  <c r="L5" i="14" s="1"/>
  <c r="L47" i="14" a="1"/>
  <c r="L47" i="14" s="1"/>
  <c r="L30" i="14" a="1"/>
  <c r="L30" i="14" s="1"/>
  <c r="L28" i="14" a="1"/>
  <c r="L28" i="14" s="1"/>
  <c r="L83" i="14" a="1"/>
  <c r="L83" i="14" s="1"/>
  <c r="L79" i="14" a="1"/>
  <c r="L79" i="14" s="1"/>
  <c r="L75" i="14" a="1"/>
  <c r="L75" i="14" s="1"/>
  <c r="L67" i="14" a="1"/>
  <c r="L67" i="14" s="1"/>
  <c r="L63" i="14" a="1"/>
  <c r="L63" i="14" s="1"/>
  <c r="L59" i="14" a="1"/>
  <c r="L59" i="14" s="1"/>
  <c r="L55" i="14" a="1"/>
  <c r="L55" i="14" s="1"/>
  <c r="L8" i="14" a="1"/>
  <c r="L8" i="14" s="1"/>
  <c r="L36" i="14" a="1"/>
  <c r="L36" i="14" s="1"/>
  <c r="L37" i="14" a="1"/>
  <c r="L37" i="14" s="1"/>
  <c r="L29" i="14" a="1"/>
  <c r="L29" i="14" s="1"/>
  <c r="L44" i="14" a="1"/>
  <c r="L44" i="14" s="1"/>
  <c r="L26" i="14" a="1"/>
  <c r="L26" i="14" s="1"/>
  <c r="L43" i="14" a="1"/>
  <c r="L43" i="14" s="1"/>
  <c r="L82" i="14" a="1"/>
  <c r="L82" i="14" s="1"/>
  <c r="L78" i="14" a="1"/>
  <c r="L78" i="14" s="1"/>
  <c r="L74" i="14" a="1"/>
  <c r="L74" i="14" s="1"/>
  <c r="L70" i="14" a="1"/>
  <c r="L70" i="14" s="1"/>
  <c r="L66" i="14" a="1"/>
  <c r="L66" i="14" s="1"/>
  <c r="L62" i="14" a="1"/>
  <c r="L62" i="14" s="1"/>
  <c r="L54" i="14" a="1"/>
  <c r="L54" i="14" s="1"/>
  <c r="L40" i="14" a="1"/>
  <c r="L40" i="14" s="1"/>
  <c r="L7" i="14" a="1"/>
  <c r="L7" i="14" s="1"/>
  <c r="L31" i="14" a="1"/>
  <c r="L31" i="14" s="1"/>
  <c r="L77" i="14" a="1"/>
  <c r="L77" i="14" s="1"/>
  <c r="L69" i="14" a="1"/>
  <c r="L69" i="14" s="1"/>
  <c r="L65" i="14" a="1"/>
  <c r="L65" i="14" s="1"/>
  <c r="L61" i="14" a="1"/>
  <c r="L61" i="14" s="1"/>
  <c r="L57" i="14" a="1"/>
  <c r="L57" i="14" s="1"/>
  <c r="L53" i="14" a="1"/>
  <c r="L53" i="14" s="1"/>
  <c r="L39" i="14" a="1"/>
  <c r="L39" i="14" s="1"/>
  <c r="L27" i="14" a="1"/>
  <c r="L27" i="14" s="1"/>
  <c r="L52" i="14" a="1"/>
  <c r="L52" i="14" s="1"/>
  <c r="L9" i="14" a="1"/>
  <c r="L9" i="14" s="1"/>
  <c r="L49" i="14" a="1"/>
  <c r="L49" i="14" s="1"/>
  <c r="L46" i="14" a="1"/>
  <c r="L46" i="14" s="1"/>
  <c r="L42" i="14" a="1"/>
  <c r="L42" i="14" s="1"/>
  <c r="L6" i="14" a="1"/>
  <c r="L6" i="14" s="1"/>
  <c r="L48" i="14" a="1"/>
  <c r="L48" i="14" s="1"/>
  <c r="L45" i="14" a="1"/>
  <c r="L45" i="14" s="1"/>
  <c r="L80" i="14" a="1"/>
  <c r="L80" i="14" s="1"/>
  <c r="L72" i="14" a="1"/>
  <c r="L72" i="14" s="1"/>
  <c r="L68" i="14" a="1"/>
  <c r="L68" i="14" s="1"/>
  <c r="L64" i="14" a="1"/>
  <c r="L64" i="14" s="1"/>
  <c r="L60" i="14" a="1"/>
  <c r="L60" i="14" s="1"/>
  <c r="L56" i="14" a="1"/>
  <c r="L56" i="14" s="1"/>
  <c r="L41" i="14" a="1"/>
  <c r="L41" i="14" s="1"/>
  <c r="L38" i="14" a="1"/>
  <c r="L38" i="14" s="1"/>
  <c r="L51" i="14" a="1"/>
  <c r="L51" i="14" s="1"/>
  <c r="L50" i="14" a="1"/>
  <c r="L50" i="14" s="1"/>
  <c r="E33" i="13"/>
  <c r="H44" i="31"/>
  <c r="H38" i="31"/>
  <c r="H39" i="31"/>
  <c r="H47" i="31"/>
  <c r="H36" i="31"/>
  <c r="H45" i="31"/>
  <c r="H34" i="31"/>
  <c r="H41" i="31"/>
  <c r="H46" i="31"/>
  <c r="H42" i="31"/>
  <c r="H31" i="31"/>
  <c r="H48" i="31"/>
  <c r="H40" i="31"/>
  <c r="H43" i="31"/>
  <c r="H37" i="31"/>
  <c r="H35" i="31"/>
  <c r="H33" i="31"/>
  <c r="H32" i="31"/>
  <c r="E31" i="31"/>
  <c r="E3" i="3"/>
  <c r="K3" i="2"/>
  <c r="C81" i="3"/>
  <c r="C80" i="3"/>
  <c r="C3" i="3"/>
  <c r="H7" i="3"/>
  <c r="H11" i="3"/>
  <c r="H15" i="3"/>
  <c r="H19" i="3"/>
  <c r="H23" i="3"/>
  <c r="H27" i="3"/>
  <c r="H31" i="3"/>
  <c r="H35" i="3"/>
  <c r="H8" i="3"/>
  <c r="H12" i="3"/>
  <c r="H16" i="3"/>
  <c r="H20" i="3"/>
  <c r="H24" i="3"/>
  <c r="H28" i="3"/>
  <c r="H32" i="3"/>
  <c r="H37" i="3"/>
  <c r="H9" i="3"/>
  <c r="H13" i="3"/>
  <c r="H17" i="3"/>
  <c r="H21" i="3"/>
  <c r="H25" i="3"/>
  <c r="H29" i="3"/>
  <c r="H33" i="3"/>
  <c r="H38" i="3"/>
  <c r="H6" i="3"/>
  <c r="H10" i="3"/>
  <c r="H14" i="3"/>
  <c r="H18" i="3"/>
  <c r="H22" i="3"/>
  <c r="H26" i="3"/>
  <c r="H30" i="3"/>
  <c r="H34" i="3"/>
  <c r="H39" i="3"/>
  <c r="H5" i="3"/>
  <c r="E2" i="3"/>
  <c r="D4" i="17"/>
  <c r="D33" i="17" s="1"/>
  <c r="C4" i="26"/>
  <c r="C4" i="17"/>
  <c r="C4" i="7"/>
  <c r="B81" i="3"/>
  <c r="B80" i="3"/>
  <c r="B53" i="17"/>
  <c r="B55" i="17"/>
  <c r="B35" i="26"/>
  <c r="B34" i="26"/>
  <c r="B32" i="26"/>
  <c r="B29" i="26"/>
  <c r="B28" i="26"/>
  <c r="B27" i="26"/>
  <c r="B21" i="26"/>
  <c r="B20" i="26"/>
  <c r="B19" i="26"/>
  <c r="B18" i="26"/>
  <c r="B17" i="26"/>
  <c r="B16" i="26"/>
  <c r="B15" i="26"/>
  <c r="B14" i="26"/>
  <c r="B12" i="26"/>
  <c r="B8" i="26"/>
  <c r="B7" i="26"/>
  <c r="C6" i="7" l="1" a="1"/>
  <c r="C6" i="7" s="1"/>
  <c r="C7" i="7" a="1"/>
  <c r="C7" i="7" s="1"/>
  <c r="C8" i="7" a="1"/>
  <c r="C8" i="7" s="1"/>
  <c r="C9" i="7" a="1"/>
  <c r="C9" i="7" s="1"/>
  <c r="E94" i="3"/>
  <c r="F94" i="3" s="1"/>
  <c r="E93" i="3"/>
  <c r="F93" i="3" s="1"/>
  <c r="D18" i="17"/>
  <c r="D22" i="17"/>
  <c r="D26" i="17"/>
  <c r="D19" i="17"/>
  <c r="D23" i="17"/>
  <c r="D27" i="17"/>
  <c r="D25" i="17"/>
  <c r="D20" i="17"/>
  <c r="D24" i="17"/>
  <c r="D28" i="17"/>
  <c r="D21" i="17"/>
  <c r="D29" i="17"/>
  <c r="E97" i="3"/>
  <c r="E82" i="3"/>
  <c r="F82" i="3" s="1"/>
  <c r="E86" i="3"/>
  <c r="F86" i="3" s="1"/>
  <c r="E90" i="3"/>
  <c r="F90" i="3" s="1"/>
  <c r="E87" i="3"/>
  <c r="F87" i="3" s="1"/>
  <c r="E91" i="3"/>
  <c r="F91" i="3" s="1"/>
  <c r="E85" i="3"/>
  <c r="F85" i="3" s="1"/>
  <c r="E89" i="3"/>
  <c r="F89" i="3" s="1"/>
  <c r="E84" i="3"/>
  <c r="F84" i="3" s="1"/>
  <c r="E88" i="3"/>
  <c r="F88" i="3" s="1"/>
  <c r="E92" i="3"/>
  <c r="F92" i="3" s="1"/>
  <c r="E83" i="3"/>
  <c r="F83" i="3" s="1"/>
  <c r="E95" i="3"/>
  <c r="F95" i="3" s="1"/>
  <c r="E96" i="3"/>
  <c r="F96" i="3" s="1"/>
  <c r="G5" i="3" a="1"/>
  <c r="G5" i="3" s="1"/>
  <c r="G39" i="3" a="1"/>
  <c r="G39" i="3" s="1"/>
  <c r="G35" i="3" a="1"/>
  <c r="G35" i="3" s="1"/>
  <c r="G31" i="3" a="1"/>
  <c r="G31" i="3" s="1"/>
  <c r="G27" i="3" a="1"/>
  <c r="G27" i="3" s="1"/>
  <c r="G23" i="3" a="1"/>
  <c r="G23" i="3" s="1"/>
  <c r="G19" i="3" a="1"/>
  <c r="G19" i="3" s="1"/>
  <c r="G15" i="3" a="1"/>
  <c r="G15" i="3" s="1"/>
  <c r="G11" i="3" a="1"/>
  <c r="G11" i="3" s="1"/>
  <c r="G7" i="3" a="1"/>
  <c r="G7" i="3" s="1"/>
  <c r="G33" i="3" a="1"/>
  <c r="G33" i="3" s="1"/>
  <c r="G21" i="3" a="1"/>
  <c r="G21" i="3" s="1"/>
  <c r="G13" i="3" a="1"/>
  <c r="G13" i="3" s="1"/>
  <c r="G36" i="3" a="1"/>
  <c r="G36" i="3" s="1"/>
  <c r="G32" i="3" a="1"/>
  <c r="G32" i="3" s="1"/>
  <c r="G28" i="3" a="1"/>
  <c r="G28" i="3" s="1"/>
  <c r="G24" i="3" a="1"/>
  <c r="G24" i="3" s="1"/>
  <c r="G20" i="3" a="1"/>
  <c r="G20" i="3" s="1"/>
  <c r="G16" i="3" a="1"/>
  <c r="G16" i="3" s="1"/>
  <c r="G12" i="3" a="1"/>
  <c r="G12" i="3" s="1"/>
  <c r="G8" i="3" a="1"/>
  <c r="G8" i="3" s="1"/>
  <c r="G38" i="3" a="1"/>
  <c r="G38" i="3" s="1"/>
  <c r="G34" i="3" a="1"/>
  <c r="G34" i="3" s="1"/>
  <c r="G30" i="3" a="1"/>
  <c r="G30" i="3" s="1"/>
  <c r="G26" i="3" a="1"/>
  <c r="G26" i="3" s="1"/>
  <c r="G22" i="3" a="1"/>
  <c r="G22" i="3" s="1"/>
  <c r="G18" i="3" a="1"/>
  <c r="G18" i="3" s="1"/>
  <c r="G14" i="3" a="1"/>
  <c r="G14" i="3" s="1"/>
  <c r="G10" i="3" a="1"/>
  <c r="G10" i="3" s="1"/>
  <c r="G6" i="3" a="1"/>
  <c r="G6" i="3" s="1"/>
  <c r="G37" i="3" a="1"/>
  <c r="G37" i="3" s="1"/>
  <c r="G29" i="3" a="1"/>
  <c r="G29" i="3" s="1"/>
  <c r="G25" i="3" a="1"/>
  <c r="G25" i="3" s="1"/>
  <c r="G17" i="3" a="1"/>
  <c r="G17" i="3" s="1"/>
  <c r="G9" i="3" a="1"/>
  <c r="G9" i="3" s="1"/>
  <c r="E73" i="3" a="1"/>
  <c r="E73" i="3" s="1"/>
  <c r="E69" i="3" a="1"/>
  <c r="E69" i="3" s="1"/>
  <c r="E65" i="3" a="1"/>
  <c r="E65" i="3" s="1"/>
  <c r="E61" i="3" a="1"/>
  <c r="E61" i="3" s="1"/>
  <c r="E57" i="3" a="1"/>
  <c r="E57" i="3" s="1"/>
  <c r="E53" i="3" a="1"/>
  <c r="E53" i="3" s="1"/>
  <c r="E49" i="3" a="1"/>
  <c r="E49" i="3" s="1"/>
  <c r="E45" i="3" a="1"/>
  <c r="E45" i="3" s="1"/>
  <c r="E39" i="3" a="1"/>
  <c r="E39" i="3" s="1"/>
  <c r="E35" i="3" a="1"/>
  <c r="E35" i="3" s="1"/>
  <c r="E31" i="3" a="1"/>
  <c r="E31" i="3" s="1"/>
  <c r="E27" i="3" a="1"/>
  <c r="E27" i="3" s="1"/>
  <c r="E23" i="3" a="1"/>
  <c r="E23" i="3" s="1"/>
  <c r="E19" i="3" a="1"/>
  <c r="E19" i="3" s="1"/>
  <c r="E15" i="3" a="1"/>
  <c r="E15" i="3" s="1"/>
  <c r="E11" i="3" a="1"/>
  <c r="E11" i="3" s="1"/>
  <c r="E7" i="3" a="1"/>
  <c r="E7" i="3" s="1"/>
  <c r="E72" i="3" a="1"/>
  <c r="E72" i="3" s="1"/>
  <c r="E68" i="3" a="1"/>
  <c r="E68" i="3" s="1"/>
  <c r="E64" i="3" a="1"/>
  <c r="E64" i="3" s="1"/>
  <c r="E60" i="3" a="1"/>
  <c r="E60" i="3" s="1"/>
  <c r="E56" i="3" a="1"/>
  <c r="E56" i="3" s="1"/>
  <c r="E52" i="3" a="1"/>
  <c r="E52" i="3" s="1"/>
  <c r="E48" i="3" a="1"/>
  <c r="E48" i="3" s="1"/>
  <c r="E42" i="3" a="1"/>
  <c r="E42" i="3" s="1"/>
  <c r="E38" i="3" a="1"/>
  <c r="E38" i="3" s="1"/>
  <c r="E34" i="3" a="1"/>
  <c r="E34" i="3" s="1"/>
  <c r="E30" i="3" a="1"/>
  <c r="E30" i="3" s="1"/>
  <c r="E26" i="3" a="1"/>
  <c r="E26" i="3" s="1"/>
  <c r="E22" i="3" a="1"/>
  <c r="E22" i="3" s="1"/>
  <c r="E18" i="3" a="1"/>
  <c r="E18" i="3" s="1"/>
  <c r="E14" i="3" a="1"/>
  <c r="E14" i="3" s="1"/>
  <c r="E10" i="3" a="1"/>
  <c r="E10" i="3" s="1"/>
  <c r="E6" i="3" a="1"/>
  <c r="E6" i="3" s="1"/>
  <c r="E71" i="3" a="1"/>
  <c r="E71" i="3" s="1"/>
  <c r="E67" i="3" a="1"/>
  <c r="E67" i="3" s="1"/>
  <c r="E63" i="3" a="1"/>
  <c r="E63" i="3" s="1"/>
  <c r="E59" i="3" a="1"/>
  <c r="E59" i="3" s="1"/>
  <c r="E55" i="3" a="1"/>
  <c r="E55" i="3" s="1"/>
  <c r="E51" i="3" a="1"/>
  <c r="E51" i="3" s="1"/>
  <c r="E47" i="3" a="1"/>
  <c r="E47" i="3" s="1"/>
  <c r="E41" i="3" a="1"/>
  <c r="E41" i="3" s="1"/>
  <c r="E37" i="3" a="1"/>
  <c r="E37" i="3" s="1"/>
  <c r="E33" i="3" a="1"/>
  <c r="E33" i="3" s="1"/>
  <c r="E29" i="3" a="1"/>
  <c r="E29" i="3" s="1"/>
  <c r="E25" i="3" a="1"/>
  <c r="E25" i="3" s="1"/>
  <c r="E21" i="3" a="1"/>
  <c r="E21" i="3" s="1"/>
  <c r="E17" i="3" a="1"/>
  <c r="E17" i="3" s="1"/>
  <c r="E13" i="3" a="1"/>
  <c r="E13" i="3" s="1"/>
  <c r="E9" i="3" a="1"/>
  <c r="E9" i="3" s="1"/>
  <c r="E70" i="3" a="1"/>
  <c r="E70" i="3" s="1"/>
  <c r="E66" i="3" a="1"/>
  <c r="E66" i="3" s="1"/>
  <c r="E62" i="3" a="1"/>
  <c r="E62" i="3" s="1"/>
  <c r="E58" i="3" a="1"/>
  <c r="E58" i="3" s="1"/>
  <c r="E54" i="3" a="1"/>
  <c r="E54" i="3" s="1"/>
  <c r="E50" i="3" a="1"/>
  <c r="E50" i="3" s="1"/>
  <c r="E46" i="3" a="1"/>
  <c r="E46" i="3" s="1"/>
  <c r="E40" i="3" a="1"/>
  <c r="E40" i="3" s="1"/>
  <c r="E36" i="3" a="1"/>
  <c r="E36" i="3" s="1"/>
  <c r="E32" i="3" a="1"/>
  <c r="E32" i="3" s="1"/>
  <c r="E28" i="3" a="1"/>
  <c r="E28" i="3" s="1"/>
  <c r="E24" i="3" a="1"/>
  <c r="E24" i="3" s="1"/>
  <c r="E20" i="3" a="1"/>
  <c r="E20" i="3" s="1"/>
  <c r="E16" i="3" a="1"/>
  <c r="E16" i="3" s="1"/>
  <c r="E12" i="3" a="1"/>
  <c r="E12" i="3" s="1"/>
  <c r="E8" i="3" a="1"/>
  <c r="E8" i="3" s="1"/>
  <c r="E5" i="3" a="1"/>
  <c r="E5" i="3" s="1"/>
  <c r="C23" i="7" a="1"/>
  <c r="C23" i="7" s="1"/>
  <c r="C19" i="7" a="1"/>
  <c r="C19" i="7" s="1"/>
  <c r="C27" i="7" a="1"/>
  <c r="C27" i="7" s="1"/>
  <c r="C18" i="7" a="1"/>
  <c r="C18" i="7" s="1"/>
  <c r="C14" i="7" a="1"/>
  <c r="C14" i="7" s="1"/>
  <c r="C33" i="7" a="1"/>
  <c r="C33" i="7" s="1"/>
  <c r="C17" i="7" a="1"/>
  <c r="C17" i="7" s="1"/>
  <c r="C13" i="7" a="1"/>
  <c r="C13" i="7" s="1"/>
  <c r="C29" i="7" a="1"/>
  <c r="C29" i="7" s="1"/>
  <c r="C20" i="7" a="1"/>
  <c r="C20" i="7" s="1"/>
  <c r="C11" i="7" a="1"/>
  <c r="C11" i="7" s="1"/>
  <c r="C25" i="7" a="1"/>
  <c r="C25" i="7" s="1"/>
  <c r="C16" i="7" a="1"/>
  <c r="C16" i="7" s="1"/>
  <c r="C46" i="7" a="1"/>
  <c r="C46" i="7" s="1"/>
  <c r="C42" i="7" a="1"/>
  <c r="C42" i="7" s="1"/>
  <c r="C38" i="7" a="1"/>
  <c r="C38" i="7" s="1"/>
  <c r="C34" i="7" a="1"/>
  <c r="C34" i="7" s="1"/>
  <c r="C30" i="7" a="1"/>
  <c r="C30" i="7" s="1"/>
  <c r="C28" i="7" a="1"/>
  <c r="C28" i="7" s="1"/>
  <c r="C5" i="7" a="1"/>
  <c r="C5" i="7" s="1"/>
  <c r="C36" i="7" a="1"/>
  <c r="C36" i="7" s="1"/>
  <c r="C24" i="7" a="1"/>
  <c r="C24" i="7" s="1"/>
  <c r="C44" i="7" a="1"/>
  <c r="C44" i="7" s="1"/>
  <c r="C21" i="7" a="1"/>
  <c r="C21" i="7" s="1"/>
  <c r="C15" i="7" a="1"/>
  <c r="C15" i="7" s="1"/>
  <c r="C39" i="7" a="1"/>
  <c r="C39" i="7" s="1"/>
  <c r="C22" i="7" a="1"/>
  <c r="C22" i="7" s="1"/>
  <c r="C26" i="7" a="1"/>
  <c r="C26" i="7" s="1"/>
  <c r="E81" i="3"/>
  <c r="A6" i="28"/>
  <c r="G9" i="27"/>
  <c r="E80" i="3"/>
  <c r="D34" i="17"/>
  <c r="D31" i="17"/>
  <c r="B1" i="26"/>
  <c r="B46" i="7"/>
  <c r="B44" i="7"/>
  <c r="B42" i="7"/>
  <c r="B39" i="7"/>
  <c r="B38" i="7"/>
  <c r="B34" i="7"/>
  <c r="B33" i="7"/>
  <c r="G6" i="28" l="1" a="1"/>
  <c r="G6" i="28" s="1"/>
  <c r="H6" i="28" a="1"/>
  <c r="H6" i="28" s="1"/>
  <c r="C6" i="28" a="1"/>
  <c r="C6" i="28" s="1"/>
  <c r="D6" i="28" a="1"/>
  <c r="D6" i="28" s="1"/>
  <c r="F36" i="3"/>
  <c r="E6" i="28" a="1"/>
  <c r="E6" i="28" s="1"/>
  <c r="J9" i="27"/>
  <c r="H9" i="27"/>
  <c r="I9" i="27"/>
  <c r="C10" i="26"/>
  <c r="C11" i="26"/>
  <c r="C16" i="26"/>
  <c r="C15" i="26"/>
  <c r="C21" i="26"/>
  <c r="C20" i="26"/>
  <c r="C12" i="26"/>
  <c r="D4" i="26"/>
  <c r="E4" i="26" s="1"/>
  <c r="C32" i="26"/>
  <c r="C29" i="26"/>
  <c r="C28" i="26"/>
  <c r="C27" i="26"/>
  <c r="C34" i="26"/>
  <c r="C8" i="26"/>
  <c r="B30" i="7"/>
  <c r="B29" i="7"/>
  <c r="B28" i="7"/>
  <c r="B27" i="7"/>
  <c r="B26" i="7"/>
  <c r="B25" i="7"/>
  <c r="B24" i="7"/>
  <c r="B23" i="7"/>
  <c r="B22" i="7"/>
  <c r="B21" i="7"/>
  <c r="B20" i="7"/>
  <c r="B19" i="7"/>
  <c r="B18" i="7"/>
  <c r="B17" i="7"/>
  <c r="B15" i="7"/>
  <c r="B14" i="7"/>
  <c r="B13" i="7"/>
  <c r="B11" i="7"/>
  <c r="B54" i="17"/>
  <c r="B50" i="17"/>
  <c r="B51" i="17"/>
  <c r="B49" i="17"/>
  <c r="B46" i="17"/>
  <c r="B43" i="17"/>
  <c r="B42" i="17"/>
  <c r="B41" i="17"/>
  <c r="B40" i="17"/>
  <c r="B35" i="17"/>
  <c r="B16" i="17"/>
  <c r="B15" i="17"/>
  <c r="B14" i="17"/>
  <c r="B11" i="17"/>
  <c r="B10" i="17"/>
  <c r="B9" i="17"/>
  <c r="B8" i="17"/>
  <c r="A1" i="25"/>
  <c r="I6" i="28" l="1"/>
  <c r="K9" i="27"/>
  <c r="H10" i="27" s="1"/>
  <c r="K6" i="28"/>
  <c r="D11" i="26"/>
  <c r="D10" i="26"/>
  <c r="E10" i="26"/>
  <c r="E11" i="26"/>
  <c r="C24" i="26"/>
  <c r="E21" i="26"/>
  <c r="E20" i="26"/>
  <c r="E12" i="26"/>
  <c r="E16" i="26"/>
  <c r="E15" i="26"/>
  <c r="D21" i="26"/>
  <c r="D20" i="26"/>
  <c r="D12" i="26"/>
  <c r="D16" i="26"/>
  <c r="D15" i="26"/>
  <c r="C30" i="26"/>
  <c r="E32" i="26"/>
  <c r="E29" i="26"/>
  <c r="E28" i="26"/>
  <c r="E27" i="26"/>
  <c r="E34" i="26"/>
  <c r="D8" i="26"/>
  <c r="D24" i="26" s="1"/>
  <c r="D32" i="26"/>
  <c r="D29" i="26"/>
  <c r="D28" i="26"/>
  <c r="D34" i="26"/>
  <c r="E8" i="26"/>
  <c r="E24" i="26" s="1"/>
  <c r="F4" i="26"/>
  <c r="F10" i="26" l="1"/>
  <c r="F11" i="26"/>
  <c r="F12" i="26"/>
  <c r="F16" i="26"/>
  <c r="F15" i="26"/>
  <c r="F20" i="26"/>
  <c r="F21" i="26"/>
  <c r="F32" i="26"/>
  <c r="F29" i="26"/>
  <c r="F28" i="26"/>
  <c r="F27" i="26"/>
  <c r="F34" i="26"/>
  <c r="E30" i="26"/>
  <c r="F8" i="26"/>
  <c r="F24" i="26" s="1"/>
  <c r="G4" i="26"/>
  <c r="G10" i="26" l="1"/>
  <c r="G11" i="26"/>
  <c r="G12" i="26"/>
  <c r="G21" i="26"/>
  <c r="G20" i="26"/>
  <c r="G16" i="26"/>
  <c r="G15" i="26"/>
  <c r="F30" i="26"/>
  <c r="G29" i="26"/>
  <c r="G28" i="26"/>
  <c r="G27" i="26"/>
  <c r="G32" i="26"/>
  <c r="G34" i="26"/>
  <c r="G8" i="26"/>
  <c r="G24" i="26" s="1"/>
  <c r="H4" i="26"/>
  <c r="H11" i="26" l="1"/>
  <c r="H10" i="26"/>
  <c r="H21" i="26"/>
  <c r="H20" i="26"/>
  <c r="H12" i="26"/>
  <c r="H16" i="26"/>
  <c r="H15" i="26"/>
  <c r="G30" i="26"/>
  <c r="H32" i="26"/>
  <c r="H28" i="26"/>
  <c r="H27" i="26"/>
  <c r="H34" i="26"/>
  <c r="I4" i="26"/>
  <c r="I10" i="26" l="1"/>
  <c r="I11" i="26"/>
  <c r="I21" i="26"/>
  <c r="I20" i="26"/>
  <c r="I12" i="26"/>
  <c r="I16" i="26"/>
  <c r="I15" i="26"/>
  <c r="I32" i="26"/>
  <c r="I29" i="26"/>
  <c r="I28" i="26"/>
  <c r="I27" i="26"/>
  <c r="I34" i="26"/>
  <c r="I8" i="26"/>
  <c r="I24" i="26" s="1"/>
  <c r="J4" i="26"/>
  <c r="J10" i="26" l="1"/>
  <c r="J11" i="26"/>
  <c r="J12" i="26"/>
  <c r="J16" i="26"/>
  <c r="J15" i="26"/>
  <c r="J21" i="26"/>
  <c r="J20" i="26"/>
  <c r="J32" i="26"/>
  <c r="J29" i="26"/>
  <c r="J28" i="26"/>
  <c r="J27" i="26"/>
  <c r="J34" i="26"/>
  <c r="I30" i="26"/>
  <c r="J8" i="26"/>
  <c r="J24" i="26" s="1"/>
  <c r="K4" i="26"/>
  <c r="K10" i="26" l="1"/>
  <c r="K11" i="26"/>
  <c r="K15" i="26"/>
  <c r="K21" i="26"/>
  <c r="K20" i="26"/>
  <c r="K12" i="26"/>
  <c r="K16" i="26"/>
  <c r="K32" i="26"/>
  <c r="K29" i="26"/>
  <c r="K28" i="26"/>
  <c r="K27" i="26"/>
  <c r="K34" i="26"/>
  <c r="J30" i="26"/>
  <c r="K8" i="26"/>
  <c r="K24" i="26" s="1"/>
  <c r="L4" i="26"/>
  <c r="L11" i="26" l="1"/>
  <c r="L10" i="26"/>
  <c r="L21" i="26"/>
  <c r="L20" i="26"/>
  <c r="L12" i="26"/>
  <c r="L16" i="26"/>
  <c r="L15" i="26"/>
  <c r="L32" i="26"/>
  <c r="L29" i="26"/>
  <c r="L28" i="26"/>
  <c r="L27" i="26"/>
  <c r="K30" i="26"/>
  <c r="L8" i="26"/>
  <c r="L24" i="26" s="1"/>
  <c r="M4" i="26"/>
  <c r="M10" i="26" l="1"/>
  <c r="M11" i="26"/>
  <c r="M21" i="26"/>
  <c r="M20" i="26"/>
  <c r="M12" i="26"/>
  <c r="M16" i="26"/>
  <c r="M15" i="26"/>
  <c r="M32" i="26"/>
  <c r="M29" i="26"/>
  <c r="M28" i="26"/>
  <c r="M27" i="26"/>
  <c r="M34" i="26"/>
  <c r="L30" i="26"/>
  <c r="M8" i="26"/>
  <c r="M24" i="26" s="1"/>
  <c r="N4" i="26"/>
  <c r="O4" i="26" l="1"/>
  <c r="N11" i="26"/>
  <c r="O11" i="26" s="1"/>
  <c r="N10" i="26"/>
  <c r="O10" i="26" s="1"/>
  <c r="N12" i="26"/>
  <c r="O12" i="26" s="1"/>
  <c r="N16" i="26"/>
  <c r="O16" i="26" s="1"/>
  <c r="N15" i="26"/>
  <c r="O15" i="26" s="1"/>
  <c r="N21" i="26"/>
  <c r="O21" i="26" s="1"/>
  <c r="N20" i="26"/>
  <c r="O20" i="26" s="1"/>
  <c r="N32" i="26"/>
  <c r="O32" i="26" s="1"/>
  <c r="N29" i="26"/>
  <c r="N28" i="26"/>
  <c r="O28" i="26" s="1"/>
  <c r="M30" i="26"/>
  <c r="H79" i="3" l="1"/>
  <c r="A79" i="3" s="1"/>
  <c r="H78" i="3"/>
  <c r="A78" i="3" s="1"/>
  <c r="H77" i="3"/>
  <c r="D48" i="13" l="1"/>
  <c r="D49" i="13"/>
  <c r="D50" i="13"/>
  <c r="D34" i="13"/>
  <c r="D36" i="13"/>
  <c r="D38" i="13"/>
  <c r="D40" i="13"/>
  <c r="D42" i="13"/>
  <c r="D44" i="13"/>
  <c r="D46" i="13"/>
  <c r="D35" i="13"/>
  <c r="D37" i="13"/>
  <c r="D39" i="13"/>
  <c r="D41" i="13"/>
  <c r="D43" i="13"/>
  <c r="D45" i="13"/>
  <c r="D47" i="13"/>
  <c r="G79" i="3"/>
  <c r="C78" i="3"/>
  <c r="E78" i="3"/>
  <c r="C79" i="3"/>
  <c r="E79" i="3"/>
  <c r="C77" i="3"/>
  <c r="E77" i="3"/>
  <c r="D33" i="13"/>
  <c r="B79" i="3"/>
  <c r="B1" i="17" l="1"/>
  <c r="B1" i="7"/>
  <c r="A1" i="2"/>
  <c r="A1" i="14"/>
  <c r="A1" i="3"/>
  <c r="A1" i="13"/>
  <c r="G2" i="3" l="1"/>
  <c r="G97" i="3" s="1"/>
  <c r="F97" i="3" s="1"/>
  <c r="B78" i="13"/>
  <c r="B77" i="13"/>
  <c r="B76" i="13"/>
  <c r="B75" i="13"/>
  <c r="B74" i="13"/>
  <c r="B73" i="13"/>
  <c r="B72" i="13"/>
  <c r="B71" i="13"/>
  <c r="B70" i="13"/>
  <c r="B69" i="13"/>
  <c r="B68" i="13"/>
  <c r="B67" i="13"/>
  <c r="G71" i="3" l="1" a="1"/>
  <c r="G71" i="3" s="1"/>
  <c r="G51" i="3" a="1"/>
  <c r="G51" i="3" s="1"/>
  <c r="G70" i="3" a="1"/>
  <c r="G70" i="3" s="1"/>
  <c r="G69" i="3" a="1"/>
  <c r="G69" i="3" s="1"/>
  <c r="G62" i="3" a="1"/>
  <c r="G62" i="3" s="1"/>
  <c r="G73" i="3" a="1"/>
  <c r="G73" i="3" s="1"/>
  <c r="G63" i="3" a="1"/>
  <c r="G63" i="3" s="1"/>
  <c r="G58" i="3" a="1"/>
  <c r="G58" i="3" s="1"/>
  <c r="G66" i="3" a="1"/>
  <c r="G66" i="3" s="1"/>
  <c r="G57" i="3" a="1"/>
  <c r="G57" i="3" s="1"/>
  <c r="G68" i="3" a="1"/>
  <c r="G68" i="3" s="1"/>
  <c r="G67" i="3" a="1"/>
  <c r="G67" i="3" s="1"/>
  <c r="G64" i="3" a="1"/>
  <c r="G64" i="3" s="1"/>
  <c r="G41" i="3" a="1"/>
  <c r="G41" i="3" s="1"/>
  <c r="G56" i="3" a="1"/>
  <c r="G56" i="3" s="1"/>
  <c r="G47" i="3" a="1"/>
  <c r="G47" i="3" s="1"/>
  <c r="G72" i="3" a="1"/>
  <c r="G72" i="3" s="1"/>
  <c r="G48" i="3" a="1"/>
  <c r="G48" i="3" s="1"/>
  <c r="G46" i="3" a="1"/>
  <c r="G46" i="3" s="1"/>
  <c r="G49" i="3" a="1"/>
  <c r="G49" i="3" s="1"/>
  <c r="G61" i="3" a="1"/>
  <c r="G61" i="3" s="1"/>
  <c r="G52" i="3" a="1"/>
  <c r="G52" i="3" s="1"/>
  <c r="G42" i="3" a="1"/>
  <c r="G42" i="3" s="1"/>
  <c r="G50" i="3" a="1"/>
  <c r="G50" i="3" s="1"/>
  <c r="G55" i="3" a="1"/>
  <c r="G55" i="3" s="1"/>
  <c r="G60" i="3" a="1"/>
  <c r="G60" i="3" s="1"/>
  <c r="G45" i="3" a="1"/>
  <c r="G45" i="3" s="1"/>
  <c r="G53" i="3" a="1"/>
  <c r="G53" i="3" s="1"/>
  <c r="G54" i="3" a="1"/>
  <c r="G54" i="3" s="1"/>
  <c r="G40" i="3" a="1"/>
  <c r="G40" i="3" s="1"/>
  <c r="G65" i="3" a="1"/>
  <c r="G65" i="3" s="1"/>
  <c r="G59" i="3" a="1"/>
  <c r="G59" i="3" s="1"/>
  <c r="A77" i="3"/>
  <c r="B6" i="7" l="1"/>
  <c r="B7" i="7"/>
  <c r="B8" i="7"/>
  <c r="B9" i="7"/>
  <c r="B33" i="17"/>
  <c r="B25" i="17"/>
  <c r="B20" i="17"/>
  <c r="B24" i="17"/>
  <c r="B28" i="17"/>
  <c r="B29" i="17"/>
  <c r="B19" i="17"/>
  <c r="B21" i="17"/>
  <c r="B22" i="17"/>
  <c r="B27" i="17"/>
  <c r="B26" i="17"/>
  <c r="B23" i="17"/>
  <c r="B16" i="7"/>
  <c r="B5" i="7"/>
  <c r="B31" i="17"/>
  <c r="B32" i="17"/>
  <c r="B36" i="7"/>
  <c r="B34" i="17"/>
  <c r="B78" i="3"/>
  <c r="B30" i="17" s="1"/>
  <c r="B77" i="3"/>
  <c r="B17" i="17" s="1"/>
  <c r="E3" i="2"/>
  <c r="E3" i="14"/>
  <c r="L34" i="26"/>
  <c r="N34" i="26"/>
  <c r="C35" i="26"/>
  <c r="D27" i="26"/>
  <c r="D35" i="26"/>
  <c r="E35" i="26"/>
  <c r="F35" i="26"/>
  <c r="G35" i="26"/>
  <c r="H29" i="26"/>
  <c r="H35" i="26"/>
  <c r="I35" i="26"/>
  <c r="J35" i="26"/>
  <c r="K35" i="26"/>
  <c r="L35" i="26"/>
  <c r="M35" i="26"/>
  <c r="N27" i="26"/>
  <c r="N30" i="26" s="1"/>
  <c r="N35" i="26"/>
  <c r="G81" i="3"/>
  <c r="P2" i="7"/>
  <c r="B18" i="17" l="1"/>
  <c r="J6" i="28"/>
  <c r="L7" i="26"/>
  <c r="L23" i="26" s="1"/>
  <c r="I7" i="26"/>
  <c r="I23" i="26" s="1"/>
  <c r="E7" i="26"/>
  <c r="E23" i="26" s="1"/>
  <c r="D7" i="26"/>
  <c r="D23" i="26" s="1"/>
  <c r="M7" i="26"/>
  <c r="M23" i="26" s="1"/>
  <c r="G7" i="26"/>
  <c r="G23" i="26" s="1"/>
  <c r="H7" i="26"/>
  <c r="H23" i="26" s="1"/>
  <c r="F7" i="26"/>
  <c r="F23" i="26" s="1"/>
  <c r="N8" i="26"/>
  <c r="N24" i="26" s="1"/>
  <c r="N7" i="26"/>
  <c r="N23" i="26" s="1"/>
  <c r="K7" i="26"/>
  <c r="K23" i="26" s="1"/>
  <c r="J7" i="26"/>
  <c r="J23" i="26" s="1"/>
  <c r="G80" i="3"/>
  <c r="F80" i="3" s="1"/>
  <c r="D32" i="17"/>
  <c r="D30" i="17"/>
  <c r="G78" i="3"/>
  <c r="C96" i="3"/>
  <c r="D17" i="17"/>
  <c r="G77" i="3"/>
  <c r="L3" i="14"/>
  <c r="C95" i="3"/>
  <c r="D14" i="17"/>
  <c r="E17" i="26"/>
  <c r="J17" i="26"/>
  <c r="C7" i="26"/>
  <c r="C23" i="26" s="1"/>
  <c r="C17" i="26"/>
  <c r="O34" i="26"/>
  <c r="F81" i="3"/>
  <c r="N17" i="26"/>
  <c r="M17" i="26"/>
  <c r="L17" i="26"/>
  <c r="I17" i="26"/>
  <c r="H17" i="26"/>
  <c r="F17" i="26"/>
  <c r="K17" i="26"/>
  <c r="H8" i="26"/>
  <c r="G17" i="26"/>
  <c r="D17" i="26"/>
  <c r="P3" i="7"/>
  <c r="P27" i="7" s="1" a="1"/>
  <c r="P27" i="7" s="1"/>
  <c r="F71" i="3"/>
  <c r="F63" i="3"/>
  <c r="F55" i="3"/>
  <c r="F51" i="3"/>
  <c r="F41" i="3"/>
  <c r="F70" i="3"/>
  <c r="F66" i="3"/>
  <c r="F62" i="3"/>
  <c r="F50" i="3"/>
  <c r="F46" i="3"/>
  <c r="F73" i="3"/>
  <c r="F69" i="3"/>
  <c r="F65" i="3"/>
  <c r="F42" i="3"/>
  <c r="O35" i="26"/>
  <c r="D30" i="26"/>
  <c r="O27" i="26"/>
  <c r="H30" i="26"/>
  <c r="O29" i="26"/>
  <c r="D49" i="17"/>
  <c r="D4" i="7"/>
  <c r="E4" i="17"/>
  <c r="E33" i="17" s="1"/>
  <c r="P3" i="14"/>
  <c r="O3" i="2"/>
  <c r="L3" i="2"/>
  <c r="M3" i="2"/>
  <c r="M3" i="14"/>
  <c r="N3" i="14"/>
  <c r="D6" i="7" l="1" a="1"/>
  <c r="D6" i="7" s="1"/>
  <c r="D7" i="7" a="1"/>
  <c r="D7" i="7" s="1"/>
  <c r="D8" i="7" a="1"/>
  <c r="D8" i="7" s="1"/>
  <c r="D9" i="7" a="1"/>
  <c r="D9" i="7" s="1"/>
  <c r="P9" i="7" a="1"/>
  <c r="P9" i="7" s="1"/>
  <c r="P7" i="7" a="1"/>
  <c r="P7" i="7" s="1"/>
  <c r="P8" i="7" a="1"/>
  <c r="P8" i="7" s="1"/>
  <c r="P6" i="7" a="1"/>
  <c r="P6" i="7" s="1"/>
  <c r="E14" i="17"/>
  <c r="E21" i="17"/>
  <c r="E25" i="17"/>
  <c r="E18" i="17"/>
  <c r="E22" i="17"/>
  <c r="E26" i="17"/>
  <c r="E20" i="17"/>
  <c r="E24" i="17"/>
  <c r="E29" i="17"/>
  <c r="E19" i="17"/>
  <c r="E23" i="17"/>
  <c r="E27" i="17"/>
  <c r="E28" i="17"/>
  <c r="P44" i="7" a="1"/>
  <c r="P44" i="7" s="1"/>
  <c r="P17" i="7" a="1"/>
  <c r="P17" i="7" s="1"/>
  <c r="P5" i="7" a="1"/>
  <c r="P5" i="7" s="1"/>
  <c r="P26" i="7" a="1"/>
  <c r="P26" i="7" s="1"/>
  <c r="P39" i="7" a="1"/>
  <c r="P39" i="7" s="1"/>
  <c r="P11" i="7" a="1"/>
  <c r="P11" i="7" s="1"/>
  <c r="P21" i="7" a="1"/>
  <c r="P21" i="7" s="1"/>
  <c r="P28" i="7" a="1"/>
  <c r="P28" i="7" s="1"/>
  <c r="P14" i="7" a="1"/>
  <c r="P14" i="7" s="1"/>
  <c r="D38" i="7" a="1"/>
  <c r="D38" i="7" s="1"/>
  <c r="D18" i="7" a="1"/>
  <c r="D18" i="7" s="1"/>
  <c r="D46" i="7" a="1"/>
  <c r="D46" i="7" s="1"/>
  <c r="D33" i="26" s="1"/>
  <c r="D36" i="26" s="1"/>
  <c r="D22" i="7" a="1"/>
  <c r="D22" i="7" s="1"/>
  <c r="D17" i="7" a="1"/>
  <c r="D17" i="7" s="1"/>
  <c r="D13" i="7" a="1"/>
  <c r="D13" i="7" s="1"/>
  <c r="D26" i="7" a="1"/>
  <c r="D26" i="7" s="1"/>
  <c r="D20" i="7" a="1"/>
  <c r="D20" i="7" s="1"/>
  <c r="D16" i="7" a="1"/>
  <c r="D16" i="7" s="1"/>
  <c r="D27" i="7" a="1"/>
  <c r="D27" i="7" s="1"/>
  <c r="D25" i="7" a="1"/>
  <c r="D25" i="7" s="1"/>
  <c r="D21" i="7" a="1"/>
  <c r="D21" i="7" s="1"/>
  <c r="D15" i="7" a="1"/>
  <c r="D15" i="7" s="1"/>
  <c r="D23" i="7" a="1"/>
  <c r="D23" i="7" s="1"/>
  <c r="D42" i="7" a="1"/>
  <c r="D42" i="7" s="1"/>
  <c r="D34" i="7" a="1"/>
  <c r="D34" i="7" s="1"/>
  <c r="D30" i="7" a="1"/>
  <c r="D30" i="7" s="1"/>
  <c r="D28" i="7" a="1"/>
  <c r="D28" i="7" s="1"/>
  <c r="D44" i="7" a="1"/>
  <c r="D44" i="7" s="1"/>
  <c r="D39" i="7" a="1"/>
  <c r="D39" i="7" s="1"/>
  <c r="D36" i="7" a="1"/>
  <c r="D36" i="7" s="1"/>
  <c r="D11" i="7" a="1"/>
  <c r="D11" i="7" s="1"/>
  <c r="D24" i="7" a="1"/>
  <c r="D24" i="7" s="1"/>
  <c r="D29" i="7" a="1"/>
  <c r="D29" i="7" s="1"/>
  <c r="D19" i="7" a="1"/>
  <c r="D19" i="7" s="1"/>
  <c r="D33" i="7" a="1"/>
  <c r="D33" i="7" s="1"/>
  <c r="D5" i="7" a="1"/>
  <c r="D5" i="7" s="1"/>
  <c r="D14" i="7" a="1"/>
  <c r="D14" i="7" s="1"/>
  <c r="P46" i="7" a="1"/>
  <c r="P46" i="7" s="1"/>
  <c r="P23" i="7" a="1"/>
  <c r="P23" i="7" s="1"/>
  <c r="P34" i="7" a="1"/>
  <c r="P34" i="7" s="1"/>
  <c r="P18" i="7" a="1"/>
  <c r="P18" i="7" s="1"/>
  <c r="P22" i="7" a="1"/>
  <c r="P22" i="7" s="1"/>
  <c r="P25" i="7" a="1"/>
  <c r="P25" i="7" s="1"/>
  <c r="P30" i="7" a="1"/>
  <c r="P30" i="7" s="1"/>
  <c r="P33" i="7" a="1"/>
  <c r="P33" i="7" s="1"/>
  <c r="P24" i="7" a="1"/>
  <c r="P24" i="7" s="1"/>
  <c r="P29" i="7" a="1"/>
  <c r="P29" i="7" s="1"/>
  <c r="P38" i="7" a="1"/>
  <c r="P38" i="7" s="1"/>
  <c r="P15" i="7" a="1"/>
  <c r="P15" i="7" s="1"/>
  <c r="P36" i="7" a="1"/>
  <c r="P36" i="7" s="1"/>
  <c r="P42" i="7" a="1"/>
  <c r="P42" i="7" s="1"/>
  <c r="P19" i="7" a="1"/>
  <c r="P19" i="7" s="1"/>
  <c r="P16" i="7" a="1"/>
  <c r="P16" i="7" s="1"/>
  <c r="P20" i="7" a="1"/>
  <c r="P20" i="7" s="1"/>
  <c r="P13" i="7" a="1"/>
  <c r="P13" i="7" s="1"/>
  <c r="F47" i="3"/>
  <c r="O8" i="26"/>
  <c r="F59" i="3"/>
  <c r="F49" i="3"/>
  <c r="F67" i="3"/>
  <c r="F56" i="3"/>
  <c r="F57" i="3"/>
  <c r="F45" i="3"/>
  <c r="F54" i="3"/>
  <c r="F64" i="3"/>
  <c r="F40" i="3"/>
  <c r="F48" i="3"/>
  <c r="F60" i="3"/>
  <c r="F53" i="3"/>
  <c r="F68" i="3"/>
  <c r="F58" i="3"/>
  <c r="F72" i="3"/>
  <c r="F61" i="3"/>
  <c r="F52" i="3"/>
  <c r="A7" i="28"/>
  <c r="G10" i="27"/>
  <c r="F7" i="3"/>
  <c r="F20" i="3"/>
  <c r="F37" i="3"/>
  <c r="F17" i="3"/>
  <c r="F15" i="3"/>
  <c r="F35" i="3"/>
  <c r="F33" i="3"/>
  <c r="F31" i="3"/>
  <c r="F18" i="3"/>
  <c r="F34" i="3"/>
  <c r="F8" i="3"/>
  <c r="F24" i="3"/>
  <c r="F21" i="3"/>
  <c r="F38" i="3"/>
  <c r="F6" i="3"/>
  <c r="F22" i="3"/>
  <c r="F39" i="3"/>
  <c r="F23" i="3"/>
  <c r="F12" i="3"/>
  <c r="F28" i="3"/>
  <c r="F9" i="3"/>
  <c r="F25" i="3"/>
  <c r="F11" i="3"/>
  <c r="F10" i="3"/>
  <c r="F26" i="3"/>
  <c r="F27" i="3"/>
  <c r="F16" i="3"/>
  <c r="F32" i="3"/>
  <c r="F13" i="3"/>
  <c r="F29" i="3"/>
  <c r="F19" i="3"/>
  <c r="F14" i="3"/>
  <c r="F30" i="3"/>
  <c r="O23" i="26"/>
  <c r="E34" i="17"/>
  <c r="E32" i="17"/>
  <c r="E31" i="17"/>
  <c r="E30" i="17"/>
  <c r="E17" i="17"/>
  <c r="O7" i="26"/>
  <c r="H24" i="26"/>
  <c r="O24" i="26" s="1"/>
  <c r="O17" i="26"/>
  <c r="E49" i="17"/>
  <c r="D18" i="26" s="1"/>
  <c r="C35" i="7"/>
  <c r="C33" i="26"/>
  <c r="C36" i="26" s="1"/>
  <c r="O30" i="26"/>
  <c r="C40" i="7"/>
  <c r="E4" i="7"/>
  <c r="C31" i="7"/>
  <c r="C10" i="7"/>
  <c r="F79" i="3"/>
  <c r="F4" i="17"/>
  <c r="F33" i="17" s="1"/>
  <c r="F78" i="3"/>
  <c r="F77" i="3"/>
  <c r="C99" i="3"/>
  <c r="B6" i="28" s="1" a="1"/>
  <c r="B6" i="28" s="1"/>
  <c r="F6" i="28" s="1"/>
  <c r="F5" i="3"/>
  <c r="E99" i="3"/>
  <c r="G99" i="3"/>
  <c r="C38" i="26" l="1" a="1"/>
  <c r="C38" i="26" s="1"/>
  <c r="O38" i="26" s="1"/>
  <c r="E6" i="7" a="1"/>
  <c r="E6" i="7" s="1"/>
  <c r="E7" i="7" a="1"/>
  <c r="E7" i="7" s="1"/>
  <c r="E8" i="7" a="1"/>
  <c r="E8" i="7" s="1"/>
  <c r="E9" i="7" a="1"/>
  <c r="E9" i="7" s="1"/>
  <c r="C33" i="17" a="1"/>
  <c r="C33" i="17" s="1"/>
  <c r="C20" i="17" a="1"/>
  <c r="C20" i="17" s="1"/>
  <c r="C24" i="17" a="1"/>
  <c r="C24" i="17" s="1"/>
  <c r="C28" i="17" a="1"/>
  <c r="C28" i="17" s="1"/>
  <c r="C19" i="17" a="1"/>
  <c r="C19" i="17" s="1"/>
  <c r="C26" i="17" a="1"/>
  <c r="C26" i="17" s="1"/>
  <c r="C25" i="17" a="1"/>
  <c r="C25" i="17" s="1"/>
  <c r="C22" i="17" a="1"/>
  <c r="C22" i="17" s="1"/>
  <c r="C23" i="17" a="1"/>
  <c r="C23" i="17" s="1"/>
  <c r="F14" i="17"/>
  <c r="E14" i="26" s="1"/>
  <c r="F20" i="17"/>
  <c r="F24" i="17"/>
  <c r="F21" i="17"/>
  <c r="F25" i="17"/>
  <c r="F29" i="17"/>
  <c r="F19" i="17"/>
  <c r="F23" i="17"/>
  <c r="F18" i="17"/>
  <c r="F22" i="17"/>
  <c r="F26" i="17"/>
  <c r="F27" i="17"/>
  <c r="F28" i="17"/>
  <c r="C21" i="17" a="1"/>
  <c r="C21" i="17" s="1"/>
  <c r="C27" i="17" a="1"/>
  <c r="C27" i="17" s="1"/>
  <c r="C29" i="17" a="1"/>
  <c r="C29" i="17" s="1"/>
  <c r="C18" i="17" a="1"/>
  <c r="C18" i="17" s="1"/>
  <c r="H7" i="28" a="1"/>
  <c r="H7" i="28" s="1"/>
  <c r="G7" i="28" a="1"/>
  <c r="G7" i="28" s="1"/>
  <c r="D7" i="28" a="1"/>
  <c r="D7" i="28" s="1"/>
  <c r="C7" i="28" a="1"/>
  <c r="C7" i="28" s="1"/>
  <c r="E7" i="28" a="1"/>
  <c r="E7" i="28" s="1"/>
  <c r="C11" i="17" a="1"/>
  <c r="C11" i="17" s="1"/>
  <c r="D11" i="17" s="1" a="1"/>
  <c r="D11" i="17" s="1"/>
  <c r="E11" i="17" s="1" a="1"/>
  <c r="E11" i="17" s="1"/>
  <c r="F11" i="17" s="1" a="1"/>
  <c r="F11" i="17" s="1"/>
  <c r="C52" i="17" a="1"/>
  <c r="C52" i="17" s="1"/>
  <c r="C41" i="17" a="1"/>
  <c r="C41" i="17" s="1"/>
  <c r="D41" i="17" s="1" a="1"/>
  <c r="D41" i="17" s="1"/>
  <c r="E41" i="17" s="1" a="1"/>
  <c r="E41" i="17" s="1"/>
  <c r="F41" i="17" s="1" a="1"/>
  <c r="F41" i="17" s="1"/>
  <c r="C46" i="17" a="1"/>
  <c r="C46" i="17" s="1"/>
  <c r="D46" i="17" s="1" a="1"/>
  <c r="D46" i="17" s="1"/>
  <c r="E46" i="17" s="1" a="1"/>
  <c r="E46" i="17" s="1"/>
  <c r="F46" i="17" s="1" a="1"/>
  <c r="F46" i="17" s="1"/>
  <c r="C14" i="17" a="1"/>
  <c r="C14" i="17" s="1"/>
  <c r="C14" i="26" s="1"/>
  <c r="C15" i="17" a="1"/>
  <c r="C15" i="17" s="1"/>
  <c r="D15" i="17" s="1" a="1"/>
  <c r="D15" i="17" s="1"/>
  <c r="E15" i="17" s="1" a="1"/>
  <c r="E15" i="17" s="1"/>
  <c r="F15" i="17" s="1" a="1"/>
  <c r="F15" i="17" s="1"/>
  <c r="C7" i="17" a="1"/>
  <c r="C7" i="17" s="1"/>
  <c r="D7" i="17" s="1" a="1"/>
  <c r="D7" i="17" s="1"/>
  <c r="E7" i="17" s="1" a="1"/>
  <c r="E7" i="17" s="1"/>
  <c r="F7" i="17" s="1" a="1"/>
  <c r="F7" i="17" s="1"/>
  <c r="C55" i="17" a="1"/>
  <c r="C55" i="17" s="1"/>
  <c r="D55" i="17" s="1" a="1"/>
  <c r="D55" i="17" s="1"/>
  <c r="E55" i="17" s="1" a="1"/>
  <c r="E55" i="17" s="1"/>
  <c r="F55" i="17" s="1" a="1"/>
  <c r="F55" i="17" s="1"/>
  <c r="G11" i="27"/>
  <c r="I11" i="27" s="1"/>
  <c r="E29" i="7" a="1"/>
  <c r="E29" i="7" s="1"/>
  <c r="E17" i="7" a="1"/>
  <c r="E17" i="7" s="1"/>
  <c r="E36" i="7" a="1"/>
  <c r="E36" i="7" s="1"/>
  <c r="E20" i="7" a="1"/>
  <c r="E20" i="7" s="1"/>
  <c r="E16" i="7" a="1"/>
  <c r="E16" i="7" s="1"/>
  <c r="E44" i="7" a="1"/>
  <c r="E44" i="7" s="1"/>
  <c r="E21" i="7" a="1"/>
  <c r="E21" i="7" s="1"/>
  <c r="E19" i="7" a="1"/>
  <c r="E19" i="7" s="1"/>
  <c r="E15" i="7" a="1"/>
  <c r="E15" i="7" s="1"/>
  <c r="E46" i="7" a="1"/>
  <c r="E46" i="7" s="1"/>
  <c r="E33" i="26" s="1"/>
  <c r="E36" i="26" s="1"/>
  <c r="E42" i="7" a="1"/>
  <c r="E42" i="7" s="1"/>
  <c r="E34" i="7" a="1"/>
  <c r="E34" i="7" s="1"/>
  <c r="E38" i="7" a="1"/>
  <c r="E38" i="7" s="1"/>
  <c r="E26" i="7" a="1"/>
  <c r="E26" i="7" s="1"/>
  <c r="E24" i="7" a="1"/>
  <c r="E24" i="7" s="1"/>
  <c r="E39" i="7" a="1"/>
  <c r="E39" i="7" s="1"/>
  <c r="E33" i="7" a="1"/>
  <c r="E33" i="7" s="1"/>
  <c r="E18" i="7" a="1"/>
  <c r="E18" i="7" s="1"/>
  <c r="E13" i="7" a="1"/>
  <c r="E13" i="7" s="1"/>
  <c r="E11" i="7" a="1"/>
  <c r="E11" i="7" s="1"/>
  <c r="E5" i="7" a="1"/>
  <c r="E5" i="7" s="1"/>
  <c r="E27" i="7" a="1"/>
  <c r="E27" i="7" s="1"/>
  <c r="E25" i="7" a="1"/>
  <c r="E25" i="7" s="1"/>
  <c r="E14" i="7" a="1"/>
  <c r="E14" i="7" s="1"/>
  <c r="E22" i="7" a="1"/>
  <c r="E22" i="7" s="1"/>
  <c r="E28" i="7" a="1"/>
  <c r="E28" i="7" s="1"/>
  <c r="E30" i="7" a="1"/>
  <c r="E30" i="7" s="1"/>
  <c r="E23" i="7" a="1"/>
  <c r="E23" i="7" s="1"/>
  <c r="C43" i="17" a="1"/>
  <c r="C43" i="17" s="1"/>
  <c r="C30" i="17" a="1"/>
  <c r="C30" i="17" s="1"/>
  <c r="C16" i="17" a="1"/>
  <c r="C16" i="17" s="1"/>
  <c r="D16" i="17" s="1" a="1"/>
  <c r="D16" i="17" s="1"/>
  <c r="E16" i="17" s="1" a="1"/>
  <c r="E16" i="17" s="1"/>
  <c r="F16" i="17" s="1" a="1"/>
  <c r="F16" i="17" s="1"/>
  <c r="C54" i="17" a="1"/>
  <c r="C54" i="17" s="1"/>
  <c r="D54" i="17" s="1" a="1"/>
  <c r="D54" i="17" s="1"/>
  <c r="E54" i="17" s="1" a="1"/>
  <c r="E54" i="17" s="1"/>
  <c r="F54" i="17" s="1" a="1"/>
  <c r="F54" i="17" s="1"/>
  <c r="C10" i="17" a="1"/>
  <c r="C10" i="17" s="1"/>
  <c r="D10" i="17" s="1" a="1"/>
  <c r="D10" i="17" s="1"/>
  <c r="E10" i="17" s="1" a="1"/>
  <c r="E10" i="17" s="1"/>
  <c r="F10" i="17" s="1" a="1"/>
  <c r="F10" i="17" s="1"/>
  <c r="C8" i="17" a="1"/>
  <c r="C8" i="17" s="1"/>
  <c r="D8" i="17" s="1" a="1"/>
  <c r="D8" i="17" s="1"/>
  <c r="E8" i="17" s="1" a="1"/>
  <c r="E8" i="17" s="1"/>
  <c r="F8" i="17" s="1" a="1"/>
  <c r="F8" i="17" s="1"/>
  <c r="C35" i="17" a="1"/>
  <c r="C35" i="17" s="1"/>
  <c r="D35" i="17" s="1" a="1"/>
  <c r="D35" i="17" s="1"/>
  <c r="E35" i="17" s="1" a="1"/>
  <c r="E35" i="17" s="1"/>
  <c r="F35" i="17" s="1" a="1"/>
  <c r="F35" i="17" s="1"/>
  <c r="C17" i="17" a="1"/>
  <c r="C17" i="17" s="1"/>
  <c r="C53" i="17" a="1"/>
  <c r="C53" i="17" s="1"/>
  <c r="D53" i="17" s="1" a="1"/>
  <c r="D53" i="17" s="1"/>
  <c r="E53" i="17" s="1" a="1"/>
  <c r="E53" i="17" s="1"/>
  <c r="F53" i="17" s="1" a="1"/>
  <c r="F53" i="17" s="1"/>
  <c r="C42" i="17" a="1"/>
  <c r="C42" i="17" s="1"/>
  <c r="C40" i="17" a="1"/>
  <c r="C40" i="17" s="1"/>
  <c r="D40" i="17" s="1" a="1"/>
  <c r="D40" i="17" s="1"/>
  <c r="E40" i="17" s="1" a="1"/>
  <c r="E40" i="17" s="1"/>
  <c r="F40" i="17" s="1" a="1"/>
  <c r="F40" i="17" s="1"/>
  <c r="C9" i="17" a="1"/>
  <c r="C9" i="17" s="1"/>
  <c r="D9" i="17" s="1" a="1"/>
  <c r="D9" i="17" s="1"/>
  <c r="E9" i="17" s="1" a="1"/>
  <c r="E9" i="17" s="1"/>
  <c r="F9" i="17" s="1" a="1"/>
  <c r="F9" i="17" s="1"/>
  <c r="C51" i="17" a="1"/>
  <c r="C51" i="17" s="1"/>
  <c r="C34" i="17" a="1"/>
  <c r="C34" i="17" s="1"/>
  <c r="C32" i="17" a="1"/>
  <c r="C32" i="17" s="1"/>
  <c r="C49" i="17" a="1"/>
  <c r="C49" i="17" s="1"/>
  <c r="C50" i="17" a="1"/>
  <c r="C50" i="17" s="1"/>
  <c r="D50" i="17" s="1" a="1"/>
  <c r="D50" i="17" s="1"/>
  <c r="E50" i="17" s="1" a="1"/>
  <c r="E50" i="17" s="1"/>
  <c r="F50" i="17" s="1" a="1"/>
  <c r="F50" i="17" s="1"/>
  <c r="C31" i="17" a="1"/>
  <c r="C31" i="17" s="1"/>
  <c r="I10" i="27"/>
  <c r="J10" i="27"/>
  <c r="B7" i="28"/>
  <c r="A8" i="28"/>
  <c r="F34" i="17"/>
  <c r="F32" i="17"/>
  <c r="F31" i="17"/>
  <c r="F30" i="17"/>
  <c r="F17" i="17"/>
  <c r="F4" i="7"/>
  <c r="P35" i="7"/>
  <c r="P40" i="7"/>
  <c r="P10" i="7"/>
  <c r="P31" i="7"/>
  <c r="F49" i="17"/>
  <c r="E18" i="26" s="1"/>
  <c r="D14" i="26"/>
  <c r="C41" i="7"/>
  <c r="C43" i="7" s="1"/>
  <c r="C45" i="7" s="1"/>
  <c r="D40" i="7"/>
  <c r="D35" i="7"/>
  <c r="D31" i="7"/>
  <c r="D10" i="7"/>
  <c r="G4" i="17"/>
  <c r="G33" i="17" s="1"/>
  <c r="F99" i="3"/>
  <c r="F6" i="7" l="1" a="1"/>
  <c r="F6" i="7" s="1"/>
  <c r="F7" i="7" a="1"/>
  <c r="F7" i="7" s="1"/>
  <c r="F8" i="7" a="1"/>
  <c r="F8" i="7" s="1"/>
  <c r="F9" i="7" a="1"/>
  <c r="F9" i="7" s="1"/>
  <c r="G14" i="17"/>
  <c r="F14" i="26" s="1"/>
  <c r="G19" i="17"/>
  <c r="G23" i="17"/>
  <c r="G27" i="17"/>
  <c r="G20" i="17"/>
  <c r="G24" i="17"/>
  <c r="G28" i="17"/>
  <c r="G22" i="17"/>
  <c r="G26" i="17"/>
  <c r="G21" i="17"/>
  <c r="G25" i="17"/>
  <c r="G29" i="17"/>
  <c r="G18" i="17"/>
  <c r="H8" i="28" a="1"/>
  <c r="H8" i="28" s="1"/>
  <c r="G8" i="28" a="1"/>
  <c r="G8" i="28" s="1"/>
  <c r="D8" i="28" a="1"/>
  <c r="D8" i="28" s="1"/>
  <c r="C8" i="28" a="1"/>
  <c r="C8" i="28" s="1"/>
  <c r="F7" i="28"/>
  <c r="E8" i="28" a="1"/>
  <c r="E8" i="28" s="1"/>
  <c r="D52" i="17" a="1"/>
  <c r="D52" i="17" s="1"/>
  <c r="E52" i="17" s="1" a="1"/>
  <c r="E52" i="17" s="1"/>
  <c r="F52" i="17" s="1" a="1"/>
  <c r="F52" i="17" s="1"/>
  <c r="G52" i="17" s="1" a="1"/>
  <c r="G52" i="17" s="1"/>
  <c r="G50" i="17" a="1"/>
  <c r="G50" i="17" s="1"/>
  <c r="D51" i="17" a="1"/>
  <c r="D51" i="17" s="1"/>
  <c r="G53" i="17" a="1"/>
  <c r="G53" i="17" s="1"/>
  <c r="G35" i="17" a="1"/>
  <c r="G35" i="17" s="1"/>
  <c r="G8" i="17" a="1"/>
  <c r="G8" i="17" s="1"/>
  <c r="G55" i="17" a="1"/>
  <c r="G55" i="17" s="1"/>
  <c r="G7" i="17" a="1"/>
  <c r="G7" i="17" s="1"/>
  <c r="G9" i="17" a="1"/>
  <c r="G9" i="17" s="1"/>
  <c r="G15" i="17" a="1"/>
  <c r="G15" i="17" s="1"/>
  <c r="G40" i="17" a="1"/>
  <c r="G40" i="17" s="1"/>
  <c r="G10" i="17" a="1"/>
  <c r="G10" i="17" s="1"/>
  <c r="G54" i="17" a="1"/>
  <c r="G54" i="17" s="1"/>
  <c r="G46" i="17" a="1"/>
  <c r="G46" i="17" s="1"/>
  <c r="G41" i="17" a="1"/>
  <c r="G41" i="17" s="1"/>
  <c r="G16" i="17" a="1"/>
  <c r="G16" i="17" s="1"/>
  <c r="G11" i="17" a="1"/>
  <c r="G11" i="17" s="1"/>
  <c r="J11" i="27"/>
  <c r="F24" i="7" a="1"/>
  <c r="F24" i="7" s="1"/>
  <c r="F20" i="7" a="1"/>
  <c r="F20" i="7" s="1"/>
  <c r="F16" i="7" a="1"/>
  <c r="F16" i="7" s="1"/>
  <c r="F28" i="7" a="1"/>
  <c r="F28" i="7" s="1"/>
  <c r="F19" i="7" a="1"/>
  <c r="F19" i="7" s="1"/>
  <c r="F15" i="7" a="1"/>
  <c r="F15" i="7" s="1"/>
  <c r="F34" i="7" a="1"/>
  <c r="F34" i="7" s="1"/>
  <c r="F18" i="7" a="1"/>
  <c r="F18" i="7" s="1"/>
  <c r="F14" i="7" a="1"/>
  <c r="F14" i="7" s="1"/>
  <c r="F46" i="7" a="1"/>
  <c r="F46" i="7" s="1"/>
  <c r="F33" i="26" s="1"/>
  <c r="F36" i="26" s="1"/>
  <c r="F42" i="7" a="1"/>
  <c r="F42" i="7" s="1"/>
  <c r="F38" i="7" a="1"/>
  <c r="F38" i="7" s="1"/>
  <c r="F5" i="7" a="1"/>
  <c r="F5" i="7" s="1"/>
  <c r="F30" i="7" a="1"/>
  <c r="F30" i="7" s="1"/>
  <c r="F22" i="7" a="1"/>
  <c r="F22" i="7" s="1"/>
  <c r="F44" i="7" a="1"/>
  <c r="F44" i="7" s="1"/>
  <c r="F39" i="7" a="1"/>
  <c r="F39" i="7" s="1"/>
  <c r="F36" i="7" a="1"/>
  <c r="F36" i="7" s="1"/>
  <c r="F33" i="7" a="1"/>
  <c r="F33" i="7" s="1"/>
  <c r="F27" i="7" a="1"/>
  <c r="F27" i="7" s="1"/>
  <c r="F29" i="7" a="1"/>
  <c r="F29" i="7" s="1"/>
  <c r="F25" i="7" a="1"/>
  <c r="F25" i="7" s="1"/>
  <c r="F23" i="7" a="1"/>
  <c r="F23" i="7" s="1"/>
  <c r="F17" i="7" a="1"/>
  <c r="F17" i="7" s="1"/>
  <c r="F21" i="7" a="1"/>
  <c r="F21" i="7" s="1"/>
  <c r="F13" i="7" a="1"/>
  <c r="F13" i="7" s="1"/>
  <c r="F26" i="7" a="1"/>
  <c r="F26" i="7" s="1"/>
  <c r="F11" i="7" a="1"/>
  <c r="F11" i="7" s="1"/>
  <c r="I7" i="28"/>
  <c r="K10" i="27"/>
  <c r="H11" i="27" s="1"/>
  <c r="J7" i="28"/>
  <c r="B8" i="28"/>
  <c r="K7" i="28"/>
  <c r="G12" i="27"/>
  <c r="A9" i="28"/>
  <c r="G4" i="7"/>
  <c r="G34" i="17"/>
  <c r="G32" i="17"/>
  <c r="G31" i="17"/>
  <c r="G30" i="17"/>
  <c r="G17" i="17"/>
  <c r="E10" i="7"/>
  <c r="E35" i="7"/>
  <c r="P41" i="7"/>
  <c r="P43" i="7" s="1"/>
  <c r="P45" i="7" s="1"/>
  <c r="P47" i="7" s="1"/>
  <c r="C18" i="26"/>
  <c r="C56" i="17"/>
  <c r="G49" i="17"/>
  <c r="F18" i="26" s="1"/>
  <c r="C47" i="7"/>
  <c r="D43" i="17" s="1"/>
  <c r="C6" i="26"/>
  <c r="E31" i="7"/>
  <c r="D41" i="7"/>
  <c r="D43" i="7" s="1"/>
  <c r="D45" i="7" s="1"/>
  <c r="E40" i="7"/>
  <c r="C47" i="17"/>
  <c r="C44" i="17"/>
  <c r="D36" i="17"/>
  <c r="C36" i="17"/>
  <c r="H4" i="17"/>
  <c r="H33" i="17" s="1"/>
  <c r="C12" i="17"/>
  <c r="D42" i="17"/>
  <c r="G6" i="7" l="1" a="1"/>
  <c r="G6" i="7" s="1"/>
  <c r="G7" i="7" a="1"/>
  <c r="G7" i="7" s="1"/>
  <c r="G8" i="7" a="1"/>
  <c r="G8" i="7" s="1"/>
  <c r="G9" i="7" a="1"/>
  <c r="G9" i="7" s="1"/>
  <c r="H14" i="17"/>
  <c r="H18" i="17"/>
  <c r="H22" i="17"/>
  <c r="H26" i="17"/>
  <c r="H19" i="17"/>
  <c r="H23" i="17"/>
  <c r="H27" i="17"/>
  <c r="H21" i="17"/>
  <c r="H25" i="17"/>
  <c r="H20" i="17"/>
  <c r="H24" i="17"/>
  <c r="H28" i="17"/>
  <c r="H29" i="17"/>
  <c r="F8" i="28"/>
  <c r="B9" i="28" s="1"/>
  <c r="H9" i="28" a="1"/>
  <c r="H9" i="28" s="1"/>
  <c r="G9" i="28" a="1"/>
  <c r="G9" i="28" s="1"/>
  <c r="D9" i="28" a="1"/>
  <c r="D9" i="28" s="1"/>
  <c r="C9" i="28" a="1"/>
  <c r="C9" i="28" s="1"/>
  <c r="E9" i="28" a="1"/>
  <c r="E9" i="28" s="1"/>
  <c r="D56" i="17"/>
  <c r="H52" i="17" a="1"/>
  <c r="H52" i="17" s="1"/>
  <c r="E51" i="17" a="1"/>
  <c r="E51" i="17" s="1"/>
  <c r="E56" i="17" s="1"/>
  <c r="C19" i="26"/>
  <c r="K11" i="27"/>
  <c r="H12" i="27" s="1"/>
  <c r="H10" i="17" a="1"/>
  <c r="H10" i="17" s="1"/>
  <c r="H11" i="17" a="1"/>
  <c r="H11" i="17" s="1"/>
  <c r="H40" i="17" a="1"/>
  <c r="H40" i="17" s="1"/>
  <c r="H16" i="17" a="1"/>
  <c r="H16" i="17" s="1"/>
  <c r="H35" i="17" a="1"/>
  <c r="H35" i="17" s="1"/>
  <c r="H50" i="17" a="1"/>
  <c r="H50" i="17" s="1"/>
  <c r="H15" i="17" a="1"/>
  <c r="H15" i="17" s="1"/>
  <c r="H41" i="17" a="1"/>
  <c r="H41" i="17" s="1"/>
  <c r="H9" i="17" a="1"/>
  <c r="H9" i="17" s="1"/>
  <c r="H53" i="17" a="1"/>
  <c r="H53" i="17" s="1"/>
  <c r="H7" i="17" a="1"/>
  <c r="H7" i="17" s="1"/>
  <c r="H46" i="17" a="1"/>
  <c r="H46" i="17" s="1"/>
  <c r="H55" i="17" a="1"/>
  <c r="H55" i="17" s="1"/>
  <c r="H54" i="17" a="1"/>
  <c r="H54" i="17" s="1"/>
  <c r="H8" i="17" a="1"/>
  <c r="H8" i="17" s="1"/>
  <c r="G39" i="7" a="1"/>
  <c r="G39" i="7" s="1"/>
  <c r="G19" i="7" a="1"/>
  <c r="G19" i="7" s="1"/>
  <c r="G15" i="7" a="1"/>
  <c r="G15" i="7" s="1"/>
  <c r="G23" i="7" a="1"/>
  <c r="G23" i="7" s="1"/>
  <c r="G18" i="7" a="1"/>
  <c r="G18" i="7" s="1"/>
  <c r="G14" i="7" a="1"/>
  <c r="G14" i="7" s="1"/>
  <c r="G27" i="7" a="1"/>
  <c r="G27" i="7" s="1"/>
  <c r="G17" i="7" a="1"/>
  <c r="G17" i="7" s="1"/>
  <c r="G13" i="7" a="1"/>
  <c r="G13" i="7" s="1"/>
  <c r="G34" i="7" a="1"/>
  <c r="G34" i="7" s="1"/>
  <c r="G30" i="7" a="1"/>
  <c r="G30" i="7" s="1"/>
  <c r="G11" i="7" a="1"/>
  <c r="G11" i="7" s="1"/>
  <c r="G28" i="7" a="1"/>
  <c r="G28" i="7" s="1"/>
  <c r="G26" i="7" a="1"/>
  <c r="G26" i="7" s="1"/>
  <c r="G22" i="7" a="1"/>
  <c r="G22" i="7" s="1"/>
  <c r="G44" i="7" a="1"/>
  <c r="G44" i="7" s="1"/>
  <c r="G20" i="7" a="1"/>
  <c r="G20" i="7" s="1"/>
  <c r="G36" i="7" a="1"/>
  <c r="G36" i="7" s="1"/>
  <c r="G33" i="7" a="1"/>
  <c r="G33" i="7" s="1"/>
  <c r="G29" i="7" a="1"/>
  <c r="G29" i="7" s="1"/>
  <c r="G25" i="7" a="1"/>
  <c r="G25" i="7" s="1"/>
  <c r="G46" i="7" a="1"/>
  <c r="G46" i="7" s="1"/>
  <c r="G33" i="26" s="1"/>
  <c r="G36" i="26" s="1"/>
  <c r="G21" i="7" a="1"/>
  <c r="G21" i="7" s="1"/>
  <c r="G5" i="7" a="1"/>
  <c r="G5" i="7" s="1"/>
  <c r="G16" i="7" a="1"/>
  <c r="G16" i="7" s="1"/>
  <c r="G42" i="7" a="1"/>
  <c r="G42" i="7" s="1"/>
  <c r="G38" i="7" a="1"/>
  <c r="G38" i="7" s="1"/>
  <c r="G24" i="7" a="1"/>
  <c r="G24" i="7" s="1"/>
  <c r="I12" i="27"/>
  <c r="J12" i="27"/>
  <c r="G13" i="27"/>
  <c r="I8" i="28"/>
  <c r="K8" i="28"/>
  <c r="J8" i="28"/>
  <c r="F35" i="7"/>
  <c r="F10" i="7"/>
  <c r="A10" i="28"/>
  <c r="F31" i="7"/>
  <c r="H4" i="7"/>
  <c r="F40" i="7"/>
  <c r="H31" i="17"/>
  <c r="H30" i="17"/>
  <c r="H17" i="17"/>
  <c r="H34" i="17"/>
  <c r="H32" i="17"/>
  <c r="G14" i="26"/>
  <c r="H49" i="17"/>
  <c r="G18" i="26" s="1"/>
  <c r="E42" i="17"/>
  <c r="D47" i="7"/>
  <c r="E43" i="17" s="1"/>
  <c r="D6" i="26"/>
  <c r="E36" i="17"/>
  <c r="E41" i="7"/>
  <c r="E43" i="7" s="1"/>
  <c r="E45" i="7" s="1"/>
  <c r="C57" i="17"/>
  <c r="C37" i="17"/>
  <c r="D47" i="17"/>
  <c r="D44" i="17"/>
  <c r="I4" i="17"/>
  <c r="I33" i="17" s="1"/>
  <c r="D12" i="17"/>
  <c r="D37" i="17" s="1"/>
  <c r="H6" i="7" l="1" a="1"/>
  <c r="H6" i="7" s="1"/>
  <c r="H7" i="7" a="1"/>
  <c r="H7" i="7" s="1"/>
  <c r="H8" i="7" a="1"/>
  <c r="H8" i="7" s="1"/>
  <c r="H9" i="7" a="1"/>
  <c r="H9" i="7" s="1"/>
  <c r="I14" i="17"/>
  <c r="H14" i="26" s="1"/>
  <c r="I21" i="17"/>
  <c r="I25" i="17"/>
  <c r="I18" i="17"/>
  <c r="I22" i="17"/>
  <c r="I26" i="17"/>
  <c r="I20" i="17"/>
  <c r="I24" i="17"/>
  <c r="I29" i="17"/>
  <c r="I19" i="17"/>
  <c r="I23" i="17"/>
  <c r="I27" i="17"/>
  <c r="I28" i="17"/>
  <c r="H10" i="28" a="1"/>
  <c r="H10" i="28" s="1"/>
  <c r="G10" i="28" a="1"/>
  <c r="G10" i="28" s="1"/>
  <c r="D10" i="28" a="1"/>
  <c r="D10" i="28" s="1"/>
  <c r="C10" i="28" a="1"/>
  <c r="C10" i="28" s="1"/>
  <c r="F9" i="28"/>
  <c r="B10" i="28" s="1"/>
  <c r="E10" i="28" a="1"/>
  <c r="E10" i="28" s="1"/>
  <c r="I52" i="17" a="1"/>
  <c r="I52" i="17" s="1"/>
  <c r="F51" i="17" a="1"/>
  <c r="F51" i="17" s="1"/>
  <c r="F56" i="17" s="1"/>
  <c r="D19" i="26"/>
  <c r="I41" i="17" a="1"/>
  <c r="I41" i="17" s="1"/>
  <c r="I8" i="17" a="1"/>
  <c r="I8" i="17" s="1"/>
  <c r="I15" i="17" a="1"/>
  <c r="I15" i="17" s="1"/>
  <c r="I54" i="17" a="1"/>
  <c r="I54" i="17" s="1"/>
  <c r="I50" i="17" a="1"/>
  <c r="I50" i="17" s="1"/>
  <c r="I55" i="17" a="1"/>
  <c r="I55" i="17" s="1"/>
  <c r="I35" i="17" a="1"/>
  <c r="I35" i="17" s="1"/>
  <c r="I46" i="17" a="1"/>
  <c r="I46" i="17" s="1"/>
  <c r="I16" i="17" a="1"/>
  <c r="I16" i="17" s="1"/>
  <c r="I7" i="17" a="1"/>
  <c r="I7" i="17" s="1"/>
  <c r="I10" i="17" a="1"/>
  <c r="I10" i="17" s="1"/>
  <c r="I53" i="17" a="1"/>
  <c r="I53" i="17" s="1"/>
  <c r="I40" i="17" a="1"/>
  <c r="I40" i="17" s="1"/>
  <c r="I9" i="17" a="1"/>
  <c r="I9" i="17" s="1"/>
  <c r="I11" i="17" a="1"/>
  <c r="I11" i="17" s="1"/>
  <c r="G40" i="7"/>
  <c r="H30" i="7" a="1"/>
  <c r="H30" i="7" s="1"/>
  <c r="H18" i="7" a="1"/>
  <c r="H18" i="7" s="1"/>
  <c r="H38" i="7" a="1"/>
  <c r="H38" i="7" s="1"/>
  <c r="H17" i="7" a="1"/>
  <c r="H17" i="7" s="1"/>
  <c r="H13" i="7" a="1"/>
  <c r="H13" i="7" s="1"/>
  <c r="H46" i="7" a="1"/>
  <c r="H46" i="7" s="1"/>
  <c r="H33" i="26" s="1"/>
  <c r="H36" i="26" s="1"/>
  <c r="H22" i="7" a="1"/>
  <c r="H22" i="7" s="1"/>
  <c r="H20" i="7" a="1"/>
  <c r="H20" i="7" s="1"/>
  <c r="H16" i="7" a="1"/>
  <c r="H16" i="7" s="1"/>
  <c r="H28" i="7" a="1"/>
  <c r="H28" i="7" s="1"/>
  <c r="H26" i="7" a="1"/>
  <c r="H26" i="7" s="1"/>
  <c r="H24" i="7" a="1"/>
  <c r="H24" i="7" s="1"/>
  <c r="H44" i="7" a="1"/>
  <c r="H44" i="7" s="1"/>
  <c r="H36" i="7" a="1"/>
  <c r="H36" i="7" s="1"/>
  <c r="H39" i="7" a="1"/>
  <c r="H39" i="7" s="1"/>
  <c r="H33" i="7" a="1"/>
  <c r="H33" i="7" s="1"/>
  <c r="H29" i="7" a="1"/>
  <c r="H29" i="7" s="1"/>
  <c r="H15" i="7" a="1"/>
  <c r="H15" i="7" s="1"/>
  <c r="H42" i="7" a="1"/>
  <c r="H42" i="7" s="1"/>
  <c r="H14" i="7" a="1"/>
  <c r="H14" i="7" s="1"/>
  <c r="H11" i="7" a="1"/>
  <c r="H11" i="7" s="1"/>
  <c r="H34" i="7" a="1"/>
  <c r="H34" i="7" s="1"/>
  <c r="H27" i="7" a="1"/>
  <c r="H27" i="7" s="1"/>
  <c r="H21" i="7" a="1"/>
  <c r="H21" i="7" s="1"/>
  <c r="H25" i="7" a="1"/>
  <c r="H25" i="7" s="1"/>
  <c r="H23" i="7" a="1"/>
  <c r="H23" i="7" s="1"/>
  <c r="H5" i="7" a="1"/>
  <c r="H5" i="7" s="1"/>
  <c r="H19" i="7" a="1"/>
  <c r="H19" i="7" s="1"/>
  <c r="I13" i="27"/>
  <c r="J13" i="27"/>
  <c r="K12" i="27"/>
  <c r="H13" i="27" s="1"/>
  <c r="G35" i="7"/>
  <c r="A11" i="28"/>
  <c r="G14" i="27"/>
  <c r="I9" i="28"/>
  <c r="J9" i="28"/>
  <c r="K9" i="28"/>
  <c r="F41" i="7"/>
  <c r="F43" i="7" s="1"/>
  <c r="F45" i="7" s="1"/>
  <c r="F6" i="26" s="1"/>
  <c r="I4" i="7"/>
  <c r="G10" i="7"/>
  <c r="G31" i="7"/>
  <c r="I34" i="17"/>
  <c r="I32" i="17"/>
  <c r="I31" i="17"/>
  <c r="I30" i="17"/>
  <c r="I17" i="17"/>
  <c r="C22" i="26"/>
  <c r="E44" i="17"/>
  <c r="I49" i="17"/>
  <c r="H18" i="26" s="1"/>
  <c r="F42" i="17"/>
  <c r="F36" i="17"/>
  <c r="E47" i="7"/>
  <c r="F43" i="17" s="1"/>
  <c r="E6" i="26"/>
  <c r="C58" i="17"/>
  <c r="C59" i="17"/>
  <c r="D57" i="17"/>
  <c r="D58" i="17" s="1"/>
  <c r="E47" i="17"/>
  <c r="J4" i="17"/>
  <c r="J33" i="17" s="1"/>
  <c r="E12" i="17"/>
  <c r="I6" i="7" l="1" a="1"/>
  <c r="I6" i="7" s="1"/>
  <c r="I7" i="7" a="1"/>
  <c r="I7" i="7" s="1"/>
  <c r="I8" i="7" a="1"/>
  <c r="I8" i="7" s="1"/>
  <c r="I9" i="7" a="1"/>
  <c r="I9" i="7" s="1"/>
  <c r="J14" i="17"/>
  <c r="I14" i="26" s="1"/>
  <c r="J20" i="17"/>
  <c r="J24" i="17"/>
  <c r="J21" i="17"/>
  <c r="J25" i="17"/>
  <c r="J29" i="17"/>
  <c r="J19" i="17"/>
  <c r="J23" i="17"/>
  <c r="J28" i="17"/>
  <c r="J18" i="17"/>
  <c r="J22" i="17"/>
  <c r="J26" i="17"/>
  <c r="J27" i="17"/>
  <c r="H11" i="28" a="1"/>
  <c r="H11" i="28" s="1"/>
  <c r="G11" i="28" a="1"/>
  <c r="G11" i="28" s="1"/>
  <c r="D11" i="28" a="1"/>
  <c r="D11" i="28" s="1"/>
  <c r="C11" i="28" a="1"/>
  <c r="C11" i="28" s="1"/>
  <c r="F10" i="28"/>
  <c r="B11" i="28" s="1"/>
  <c r="E11" i="28" a="1"/>
  <c r="E11" i="28" s="1"/>
  <c r="J52" i="17" a="1"/>
  <c r="J52" i="17" s="1"/>
  <c r="G51" i="17" a="1"/>
  <c r="G51" i="17" s="1"/>
  <c r="G56" i="17" s="1"/>
  <c r="E19" i="26"/>
  <c r="E22" i="26" s="1"/>
  <c r="E25" i="26" s="1"/>
  <c r="J46" i="17" a="1"/>
  <c r="J46" i="17" s="1"/>
  <c r="J11" i="17" a="1"/>
  <c r="J11" i="17" s="1"/>
  <c r="J35" i="17" a="1"/>
  <c r="J35" i="17" s="1"/>
  <c r="J9" i="17" a="1"/>
  <c r="J9" i="17" s="1"/>
  <c r="J55" i="17" a="1"/>
  <c r="J55" i="17" s="1"/>
  <c r="J40" i="17" a="1"/>
  <c r="J40" i="17" s="1"/>
  <c r="J50" i="17" a="1"/>
  <c r="J50" i="17" s="1"/>
  <c r="J53" i="17" a="1"/>
  <c r="J53" i="17" s="1"/>
  <c r="J54" i="17" a="1"/>
  <c r="J54" i="17" s="1"/>
  <c r="J10" i="17" a="1"/>
  <c r="J10" i="17" s="1"/>
  <c r="J15" i="17" a="1"/>
  <c r="J15" i="17" s="1"/>
  <c r="J7" i="17" a="1"/>
  <c r="J7" i="17" s="1"/>
  <c r="J8" i="17" a="1"/>
  <c r="J8" i="17" s="1"/>
  <c r="J16" i="17" a="1"/>
  <c r="J16" i="17" s="1"/>
  <c r="J41" i="17" a="1"/>
  <c r="J41" i="17" s="1"/>
  <c r="I25" i="7" a="1"/>
  <c r="I25" i="7" s="1"/>
  <c r="I17" i="7" a="1"/>
  <c r="I17" i="7" s="1"/>
  <c r="I29" i="7" a="1"/>
  <c r="I29" i="7" s="1"/>
  <c r="I20" i="7" a="1"/>
  <c r="I20" i="7" s="1"/>
  <c r="I16" i="7" a="1"/>
  <c r="I16" i="7" s="1"/>
  <c r="I36" i="7" a="1"/>
  <c r="I36" i="7" s="1"/>
  <c r="I19" i="7" a="1"/>
  <c r="I19" i="7" s="1"/>
  <c r="I15" i="7" a="1"/>
  <c r="I15" i="7" s="1"/>
  <c r="I22" i="7" a="1"/>
  <c r="I22" i="7" s="1"/>
  <c r="I13" i="7" a="1"/>
  <c r="I13" i="7" s="1"/>
  <c r="I44" i="7" a="1"/>
  <c r="I44" i="7" s="1"/>
  <c r="I39" i="7" a="1"/>
  <c r="I39" i="7" s="1"/>
  <c r="I18" i="7" a="1"/>
  <c r="I18" i="7" s="1"/>
  <c r="I33" i="7" a="1"/>
  <c r="I33" i="7" s="1"/>
  <c r="I27" i="7" a="1"/>
  <c r="I27" i="7" s="1"/>
  <c r="I46" i="7" a="1"/>
  <c r="I46" i="7" s="1"/>
  <c r="I33" i="26" s="1"/>
  <c r="I36" i="26" s="1"/>
  <c r="I42" i="7" a="1"/>
  <c r="I42" i="7" s="1"/>
  <c r="I38" i="7" a="1"/>
  <c r="I38" i="7" s="1"/>
  <c r="I34" i="7" a="1"/>
  <c r="I34" i="7" s="1"/>
  <c r="I28" i="7" a="1"/>
  <c r="I28" i="7" s="1"/>
  <c r="I21" i="7" a="1"/>
  <c r="I21" i="7" s="1"/>
  <c r="I14" i="7" a="1"/>
  <c r="I14" i="7" s="1"/>
  <c r="I23" i="7" a="1"/>
  <c r="I23" i="7" s="1"/>
  <c r="I11" i="7" a="1"/>
  <c r="I11" i="7" s="1"/>
  <c r="I5" i="7" a="1"/>
  <c r="I5" i="7" s="1"/>
  <c r="I30" i="7" a="1"/>
  <c r="I30" i="7" s="1"/>
  <c r="I26" i="7" a="1"/>
  <c r="I26" i="7" s="1"/>
  <c r="I24" i="7" a="1"/>
  <c r="I24" i="7" s="1"/>
  <c r="I14" i="27"/>
  <c r="J14" i="27"/>
  <c r="F47" i="7"/>
  <c r="G43" i="17" s="1"/>
  <c r="K13" i="27"/>
  <c r="H14" i="27" s="1"/>
  <c r="G41" i="7"/>
  <c r="G43" i="7" s="1"/>
  <c r="G45" i="7" s="1"/>
  <c r="G47" i="7" s="1"/>
  <c r="A12" i="28"/>
  <c r="G15" i="27"/>
  <c r="I10" i="28"/>
  <c r="K10" i="28"/>
  <c r="J10" i="28"/>
  <c r="J4" i="7"/>
  <c r="H10" i="7"/>
  <c r="H40" i="7"/>
  <c r="H35" i="7"/>
  <c r="H31" i="7"/>
  <c r="J34" i="17"/>
  <c r="J32" i="17"/>
  <c r="J31" i="17"/>
  <c r="J30" i="17"/>
  <c r="J17" i="17"/>
  <c r="E57" i="17"/>
  <c r="C25" i="26"/>
  <c r="C37" i="26" s="1"/>
  <c r="C39" i="26" s="1"/>
  <c r="D22" i="26"/>
  <c r="F44" i="17"/>
  <c r="J49" i="17"/>
  <c r="I18" i="26" s="1"/>
  <c r="G42" i="17"/>
  <c r="G36" i="17"/>
  <c r="D59" i="17"/>
  <c r="F47" i="17"/>
  <c r="E37" i="17"/>
  <c r="K4" i="17"/>
  <c r="K33" i="17" s="1"/>
  <c r="F12" i="17"/>
  <c r="J6" i="7" l="1" a="1"/>
  <c r="J6" i="7" s="1"/>
  <c r="J7" i="7" a="1"/>
  <c r="J7" i="7" s="1"/>
  <c r="J8" i="7" a="1"/>
  <c r="J8" i="7" s="1"/>
  <c r="J9" i="7" a="1"/>
  <c r="J9" i="7" s="1"/>
  <c r="K14" i="17"/>
  <c r="J14" i="26" s="1"/>
  <c r="K19" i="17"/>
  <c r="K23" i="17"/>
  <c r="K27" i="17"/>
  <c r="K20" i="17"/>
  <c r="K24" i="17"/>
  <c r="K28" i="17"/>
  <c r="K26" i="17"/>
  <c r="K21" i="17"/>
  <c r="K25" i="17"/>
  <c r="K29" i="17"/>
  <c r="K18" i="17"/>
  <c r="K22" i="17"/>
  <c r="F11" i="28"/>
  <c r="H12" i="28" a="1"/>
  <c r="H12" i="28" s="1"/>
  <c r="G12" i="28" a="1"/>
  <c r="G12" i="28" s="1"/>
  <c r="D12" i="28" a="1"/>
  <c r="D12" i="28" s="1"/>
  <c r="C12" i="28" a="1"/>
  <c r="C12" i="28" s="1"/>
  <c r="E12" i="28" a="1"/>
  <c r="E12" i="28" s="1"/>
  <c r="K52" i="17" a="1"/>
  <c r="K52" i="17" s="1"/>
  <c r="H51" i="17" a="1"/>
  <c r="H51" i="17" s="1"/>
  <c r="H56" i="17" s="1"/>
  <c r="F19" i="26"/>
  <c r="K53" i="17" a="1"/>
  <c r="K53" i="17" s="1"/>
  <c r="K41" i="17" a="1"/>
  <c r="K41" i="17" s="1"/>
  <c r="K50" i="17" a="1"/>
  <c r="K50" i="17" s="1"/>
  <c r="K16" i="17" a="1"/>
  <c r="K16" i="17" s="1"/>
  <c r="K40" i="17" a="1"/>
  <c r="K40" i="17" s="1"/>
  <c r="K8" i="17" a="1"/>
  <c r="K8" i="17" s="1"/>
  <c r="K55" i="17" a="1"/>
  <c r="K55" i="17" s="1"/>
  <c r="K7" i="17" a="1"/>
  <c r="K7" i="17" s="1"/>
  <c r="K9" i="17" a="1"/>
  <c r="K9" i="17" s="1"/>
  <c r="K15" i="17" a="1"/>
  <c r="K15" i="17" s="1"/>
  <c r="K35" i="17" a="1"/>
  <c r="K35" i="17" s="1"/>
  <c r="K10" i="17" a="1"/>
  <c r="K10" i="17" s="1"/>
  <c r="K11" i="17" a="1"/>
  <c r="K11" i="17" s="1"/>
  <c r="K54" i="17" a="1"/>
  <c r="K54" i="17" s="1"/>
  <c r="K46" i="17" a="1"/>
  <c r="K46" i="17" s="1"/>
  <c r="J42" i="7" a="1"/>
  <c r="J42" i="7" s="1"/>
  <c r="J20" i="7" a="1"/>
  <c r="J20" i="7" s="1"/>
  <c r="J16" i="7" a="1"/>
  <c r="J16" i="7" s="1"/>
  <c r="J24" i="7" a="1"/>
  <c r="J24" i="7" s="1"/>
  <c r="J19" i="7" a="1"/>
  <c r="J19" i="7" s="1"/>
  <c r="J15" i="7" a="1"/>
  <c r="J15" i="7" s="1"/>
  <c r="J28" i="7" a="1"/>
  <c r="J28" i="7" s="1"/>
  <c r="J18" i="7" a="1"/>
  <c r="J18" i="7" s="1"/>
  <c r="J14" i="7" a="1"/>
  <c r="J14" i="7" s="1"/>
  <c r="J44" i="7" a="1"/>
  <c r="J44" i="7" s="1"/>
  <c r="J39" i="7" a="1"/>
  <c r="J39" i="7" s="1"/>
  <c r="J17" i="7" a="1"/>
  <c r="J17" i="7" s="1"/>
  <c r="J5" i="7" a="1"/>
  <c r="J5" i="7" s="1"/>
  <c r="J36" i="7" a="1"/>
  <c r="J36" i="7" s="1"/>
  <c r="J33" i="7" a="1"/>
  <c r="J33" i="7" s="1"/>
  <c r="J25" i="7" a="1"/>
  <c r="J25" i="7" s="1"/>
  <c r="J21" i="7" a="1"/>
  <c r="J21" i="7" s="1"/>
  <c r="J46" i="7" a="1"/>
  <c r="J46" i="7" s="1"/>
  <c r="J33" i="26" s="1"/>
  <c r="J36" i="26" s="1"/>
  <c r="J38" i="7" a="1"/>
  <c r="J38" i="7" s="1"/>
  <c r="J34" i="7" a="1"/>
  <c r="J34" i="7" s="1"/>
  <c r="J30" i="7" a="1"/>
  <c r="J30" i="7" s="1"/>
  <c r="J26" i="7" a="1"/>
  <c r="J26" i="7" s="1"/>
  <c r="J13" i="7" a="1"/>
  <c r="J13" i="7" s="1"/>
  <c r="J29" i="7" a="1"/>
  <c r="J29" i="7" s="1"/>
  <c r="J27" i="7" a="1"/>
  <c r="J27" i="7" s="1"/>
  <c r="J22" i="7" a="1"/>
  <c r="J22" i="7" s="1"/>
  <c r="J23" i="7" a="1"/>
  <c r="J23" i="7" s="1"/>
  <c r="J11" i="7" a="1"/>
  <c r="J11" i="7" s="1"/>
  <c r="K11" i="28"/>
  <c r="I15" i="27"/>
  <c r="J15" i="27"/>
  <c r="I11" i="28"/>
  <c r="G6" i="26"/>
  <c r="J11" i="28"/>
  <c r="B12" i="28"/>
  <c r="K14" i="27"/>
  <c r="H15" i="27" s="1"/>
  <c r="A13" i="28"/>
  <c r="G16" i="27"/>
  <c r="I35" i="7"/>
  <c r="I40" i="7"/>
  <c r="K4" i="7"/>
  <c r="I10" i="7"/>
  <c r="H41" i="7"/>
  <c r="H43" i="7" s="1"/>
  <c r="H45" i="7" s="1"/>
  <c r="H6" i="26" s="1"/>
  <c r="I31" i="7"/>
  <c r="K34" i="17"/>
  <c r="K32" i="17"/>
  <c r="K31" i="17"/>
  <c r="K30" i="17"/>
  <c r="K17" i="17"/>
  <c r="D25" i="26"/>
  <c r="D37" i="26" s="1"/>
  <c r="D60" i="17"/>
  <c r="D38" i="26"/>
  <c r="D61" i="17"/>
  <c r="E37" i="26"/>
  <c r="F57" i="17"/>
  <c r="G44" i="17"/>
  <c r="K49" i="17"/>
  <c r="J18" i="26" s="1"/>
  <c r="H42" i="17"/>
  <c r="H43" i="17"/>
  <c r="H36" i="17"/>
  <c r="G12" i="17"/>
  <c r="G37" i="17" s="1"/>
  <c r="E59" i="17"/>
  <c r="E58" i="17"/>
  <c r="G47" i="17"/>
  <c r="F37" i="17"/>
  <c r="L4" i="17"/>
  <c r="L33" i="17" s="1"/>
  <c r="K6" i="7" l="1" a="1"/>
  <c r="K6" i="7" s="1"/>
  <c r="K7" i="7" a="1"/>
  <c r="K7" i="7" s="1"/>
  <c r="K8" i="7" a="1"/>
  <c r="K8" i="7" s="1"/>
  <c r="K9" i="7" a="1"/>
  <c r="K9" i="7" s="1"/>
  <c r="L14" i="17"/>
  <c r="K14" i="26" s="1"/>
  <c r="L18" i="17"/>
  <c r="L22" i="17"/>
  <c r="L26" i="17"/>
  <c r="L19" i="17"/>
  <c r="L23" i="17"/>
  <c r="L27" i="17"/>
  <c r="L21" i="17"/>
  <c r="L25" i="17"/>
  <c r="L20" i="17"/>
  <c r="L24" i="17"/>
  <c r="L28" i="17"/>
  <c r="L29" i="17"/>
  <c r="F12" i="28"/>
  <c r="H13" i="28" a="1"/>
  <c r="H13" i="28" s="1"/>
  <c r="G13" i="28" a="1"/>
  <c r="G13" i="28" s="1"/>
  <c r="D13" i="28" a="1"/>
  <c r="D13" i="28" s="1"/>
  <c r="C13" i="28" a="1"/>
  <c r="C13" i="28" s="1"/>
  <c r="E13" i="28" a="1"/>
  <c r="E13" i="28" s="1"/>
  <c r="L52" i="17" a="1"/>
  <c r="L52" i="17" s="1"/>
  <c r="G19" i="26"/>
  <c r="I51" i="17" a="1"/>
  <c r="I51" i="17" s="1"/>
  <c r="I56" i="17" s="1"/>
  <c r="L15" i="17" a="1"/>
  <c r="L15" i="17" s="1"/>
  <c r="L41" i="17" a="1"/>
  <c r="L41" i="17" s="1"/>
  <c r="L7" i="17" a="1"/>
  <c r="L7" i="17" s="1"/>
  <c r="L46" i="17" a="1"/>
  <c r="L46" i="17" s="1"/>
  <c r="L55" i="17" a="1"/>
  <c r="L55" i="17" s="1"/>
  <c r="L54" i="17" a="1"/>
  <c r="L54" i="17" s="1"/>
  <c r="L8" i="17" a="1"/>
  <c r="L8" i="17" s="1"/>
  <c r="L11" i="17" a="1"/>
  <c r="L11" i="17" s="1"/>
  <c r="L40" i="17" a="1"/>
  <c r="L40" i="17" s="1"/>
  <c r="L10" i="17" a="1"/>
  <c r="L10" i="17" s="1"/>
  <c r="L16" i="17" a="1"/>
  <c r="L16" i="17" s="1"/>
  <c r="L35" i="17" a="1"/>
  <c r="L35" i="17" s="1"/>
  <c r="L50" i="17" a="1"/>
  <c r="L50" i="17" s="1"/>
  <c r="L9" i="17" a="1"/>
  <c r="L9" i="17" s="1"/>
  <c r="L53" i="17" a="1"/>
  <c r="L53" i="17" s="1"/>
  <c r="K33" i="7" a="1"/>
  <c r="K33" i="7" s="1"/>
  <c r="K19" i="7" a="1"/>
  <c r="K19" i="7" s="1"/>
  <c r="K15" i="7" a="1"/>
  <c r="K15" i="7" s="1"/>
  <c r="K39" i="7" a="1"/>
  <c r="K39" i="7" s="1"/>
  <c r="K18" i="7" a="1"/>
  <c r="K18" i="7" s="1"/>
  <c r="K14" i="7" a="1"/>
  <c r="K14" i="7" s="1"/>
  <c r="K23" i="7" a="1"/>
  <c r="K23" i="7" s="1"/>
  <c r="K17" i="7" a="1"/>
  <c r="K17" i="7" s="1"/>
  <c r="K13" i="7" a="1"/>
  <c r="K13" i="7" s="1"/>
  <c r="K36" i="7" a="1"/>
  <c r="K36" i="7" s="1"/>
  <c r="K11" i="7" a="1"/>
  <c r="K11" i="7" s="1"/>
  <c r="K29" i="7" a="1"/>
  <c r="K29" i="7" s="1"/>
  <c r="K27" i="7" a="1"/>
  <c r="K27" i="7" s="1"/>
  <c r="K25" i="7" a="1"/>
  <c r="K25" i="7" s="1"/>
  <c r="K46" i="7" a="1"/>
  <c r="K46" i="7" s="1"/>
  <c r="K33" i="26" s="1"/>
  <c r="K36" i="26" s="1"/>
  <c r="K38" i="7" a="1"/>
  <c r="K38" i="7" s="1"/>
  <c r="K42" i="7" a="1"/>
  <c r="K42" i="7" s="1"/>
  <c r="K34" i="7" a="1"/>
  <c r="K34" i="7" s="1"/>
  <c r="K30" i="7" a="1"/>
  <c r="K30" i="7" s="1"/>
  <c r="K28" i="7" a="1"/>
  <c r="K28" i="7" s="1"/>
  <c r="K26" i="7" a="1"/>
  <c r="K26" i="7" s="1"/>
  <c r="K24" i="7" a="1"/>
  <c r="K24" i="7" s="1"/>
  <c r="K22" i="7" a="1"/>
  <c r="K22" i="7" s="1"/>
  <c r="K5" i="7" a="1"/>
  <c r="K5" i="7" s="1"/>
  <c r="K44" i="7" a="1"/>
  <c r="K44" i="7" s="1"/>
  <c r="K20" i="7" a="1"/>
  <c r="K20" i="7" s="1"/>
  <c r="K16" i="7" a="1"/>
  <c r="K16" i="7" s="1"/>
  <c r="K21" i="7" a="1"/>
  <c r="K21" i="7" s="1"/>
  <c r="H47" i="7"/>
  <c r="I43" i="17" s="1"/>
  <c r="J12" i="28"/>
  <c r="K12" i="28"/>
  <c r="B13" i="28"/>
  <c r="I12" i="28"/>
  <c r="I16" i="27"/>
  <c r="J16" i="27"/>
  <c r="K15" i="27"/>
  <c r="H16" i="27" s="1"/>
  <c r="A14" i="28"/>
  <c r="G17" i="27"/>
  <c r="J35" i="7"/>
  <c r="L4" i="7"/>
  <c r="J40" i="7"/>
  <c r="J10" i="7"/>
  <c r="J31" i="7"/>
  <c r="G57" i="17"/>
  <c r="G58" i="17" s="1"/>
  <c r="I41" i="7"/>
  <c r="I43" i="7" s="1"/>
  <c r="I45" i="7" s="1"/>
  <c r="I47" i="7" s="1"/>
  <c r="L32" i="17"/>
  <c r="L34" i="17"/>
  <c r="L31" i="17"/>
  <c r="L30" i="17"/>
  <c r="L17" i="17"/>
  <c r="H44" i="17"/>
  <c r="D39" i="26"/>
  <c r="E61" i="17" s="1"/>
  <c r="F22" i="26"/>
  <c r="L49" i="17"/>
  <c r="K18" i="26" s="1"/>
  <c r="I42" i="17"/>
  <c r="H12" i="17"/>
  <c r="H37" i="17" s="1"/>
  <c r="I36" i="17"/>
  <c r="F59" i="17"/>
  <c r="F58" i="17"/>
  <c r="H47" i="17"/>
  <c r="M4" i="17"/>
  <c r="M33" i="17" s="1"/>
  <c r="L6" i="7" l="1" a="1"/>
  <c r="L6" i="7" s="1"/>
  <c r="L7" i="7" a="1"/>
  <c r="L7" i="7" s="1"/>
  <c r="L8" i="7" a="1"/>
  <c r="L8" i="7" s="1"/>
  <c r="L9" i="7" a="1"/>
  <c r="L9" i="7" s="1"/>
  <c r="M14" i="17"/>
  <c r="L14" i="26" s="1"/>
  <c r="M21" i="17"/>
  <c r="M25" i="17"/>
  <c r="M18" i="17"/>
  <c r="M22" i="17"/>
  <c r="M26" i="17"/>
  <c r="M20" i="17"/>
  <c r="M24" i="17"/>
  <c r="M29" i="17"/>
  <c r="M19" i="17"/>
  <c r="M23" i="17"/>
  <c r="M27" i="17"/>
  <c r="M28" i="17"/>
  <c r="H14" i="28" a="1"/>
  <c r="H14" i="28" s="1"/>
  <c r="G14" i="28" a="1"/>
  <c r="G14" i="28" s="1"/>
  <c r="D14" i="28" a="1"/>
  <c r="D14" i="28" s="1"/>
  <c r="C14" i="28" a="1"/>
  <c r="C14" i="28" s="1"/>
  <c r="F13" i="28"/>
  <c r="B14" i="28" s="1"/>
  <c r="E14" i="28" a="1"/>
  <c r="E14" i="28" s="1"/>
  <c r="M52" i="17" a="1"/>
  <c r="M52" i="17" s="1"/>
  <c r="H19" i="26"/>
  <c r="J51" i="17" a="1"/>
  <c r="J51" i="17" s="1"/>
  <c r="J56" i="17" s="1"/>
  <c r="M40" i="17" a="1"/>
  <c r="M40" i="17" s="1"/>
  <c r="M53" i="17" a="1"/>
  <c r="M53" i="17" s="1"/>
  <c r="M11" i="17" a="1"/>
  <c r="M11" i="17" s="1"/>
  <c r="M9" i="17" a="1"/>
  <c r="M9" i="17" s="1"/>
  <c r="M8" i="17" a="1"/>
  <c r="M8" i="17" s="1"/>
  <c r="M50" i="17" a="1"/>
  <c r="M50" i="17" s="1"/>
  <c r="M54" i="17" a="1"/>
  <c r="M54" i="17" s="1"/>
  <c r="M35" i="17" a="1"/>
  <c r="M35" i="17" s="1"/>
  <c r="M55" i="17" a="1"/>
  <c r="M55" i="17" s="1"/>
  <c r="M16" i="17" a="1"/>
  <c r="M16" i="17" s="1"/>
  <c r="M46" i="17" a="1"/>
  <c r="M46" i="17" s="1"/>
  <c r="M10" i="17" a="1"/>
  <c r="M10" i="17" s="1"/>
  <c r="M7" i="17" a="1"/>
  <c r="M7" i="17" s="1"/>
  <c r="M15" i="17" a="1"/>
  <c r="M15" i="17" s="1"/>
  <c r="M41" i="17" a="1"/>
  <c r="M41" i="17" s="1"/>
  <c r="J13" i="28"/>
  <c r="L26" i="7" a="1"/>
  <c r="L26" i="7" s="1"/>
  <c r="L18" i="7" a="1"/>
  <c r="L18" i="7" s="1"/>
  <c r="L30" i="7" a="1"/>
  <c r="L30" i="7" s="1"/>
  <c r="L17" i="7" a="1"/>
  <c r="L17" i="7" s="1"/>
  <c r="L13" i="7" a="1"/>
  <c r="L13" i="7" s="1"/>
  <c r="L38" i="7" a="1"/>
  <c r="L38" i="7" s="1"/>
  <c r="L16" i="7" a="1"/>
  <c r="L16" i="7" s="1"/>
  <c r="L11" i="7" a="1"/>
  <c r="L11" i="7" s="1"/>
  <c r="L33" i="7" a="1"/>
  <c r="L33" i="7" s="1"/>
  <c r="L27" i="7" a="1"/>
  <c r="L27" i="7" s="1"/>
  <c r="L25" i="7" a="1"/>
  <c r="L25" i="7" s="1"/>
  <c r="L14" i="7" a="1"/>
  <c r="L14" i="7" s="1"/>
  <c r="L23" i="7" a="1"/>
  <c r="L23" i="7" s="1"/>
  <c r="L21" i="7" a="1"/>
  <c r="L21" i="7" s="1"/>
  <c r="L46" i="7" a="1"/>
  <c r="L46" i="7" s="1"/>
  <c r="L33" i="26" s="1"/>
  <c r="L36" i="26" s="1"/>
  <c r="L42" i="7" a="1"/>
  <c r="L42" i="7" s="1"/>
  <c r="L34" i="7" a="1"/>
  <c r="L34" i="7" s="1"/>
  <c r="L24" i="7" a="1"/>
  <c r="L24" i="7" s="1"/>
  <c r="L44" i="7" a="1"/>
  <c r="L44" i="7" s="1"/>
  <c r="L15" i="7" a="1"/>
  <c r="L15" i="7" s="1"/>
  <c r="L22" i="7" a="1"/>
  <c r="L22" i="7" s="1"/>
  <c r="L5" i="7" a="1"/>
  <c r="L5" i="7" s="1"/>
  <c r="L28" i="7" a="1"/>
  <c r="L28" i="7" s="1"/>
  <c r="L39" i="7" a="1"/>
  <c r="L39" i="7" s="1"/>
  <c r="L20" i="7" a="1"/>
  <c r="L20" i="7" s="1"/>
  <c r="L19" i="7" a="1"/>
  <c r="L19" i="7" s="1"/>
  <c r="L36" i="7" a="1"/>
  <c r="L36" i="7" s="1"/>
  <c r="L29" i="7" a="1"/>
  <c r="L29" i="7" s="1"/>
  <c r="I13" i="28"/>
  <c r="M4" i="7"/>
  <c r="K13" i="28"/>
  <c r="I17" i="27"/>
  <c r="J17" i="27"/>
  <c r="K16" i="27"/>
  <c r="H17" i="27" s="1"/>
  <c r="A15" i="28"/>
  <c r="G18" i="27"/>
  <c r="K35" i="7"/>
  <c r="J41" i="7"/>
  <c r="J43" i="7" s="1"/>
  <c r="J45" i="7" s="1"/>
  <c r="J6" i="26" s="1"/>
  <c r="G59" i="17"/>
  <c r="K10" i="7"/>
  <c r="K31" i="7"/>
  <c r="K40" i="7"/>
  <c r="I6" i="26"/>
  <c r="M34" i="17"/>
  <c r="M32" i="17"/>
  <c r="M31" i="17"/>
  <c r="M30" i="17"/>
  <c r="M17" i="17"/>
  <c r="H57" i="17"/>
  <c r="H59" i="17" s="1"/>
  <c r="E38" i="26"/>
  <c r="E39" i="26" s="1"/>
  <c r="F38" i="26" s="1"/>
  <c r="E60" i="17"/>
  <c r="F25" i="26"/>
  <c r="F37" i="26" s="1"/>
  <c r="G22" i="26"/>
  <c r="I44" i="17"/>
  <c r="M49" i="17"/>
  <c r="L18" i="26" s="1"/>
  <c r="J42" i="17"/>
  <c r="J43" i="17"/>
  <c r="I12" i="17"/>
  <c r="I37" i="17" s="1"/>
  <c r="J36" i="17"/>
  <c r="I47" i="17"/>
  <c r="N4" i="17"/>
  <c r="N33" i="17" s="1"/>
  <c r="M6" i="7" l="1" a="1"/>
  <c r="M6" i="7" s="1"/>
  <c r="M7" i="7" a="1"/>
  <c r="M7" i="7" s="1"/>
  <c r="M8" i="7" a="1"/>
  <c r="M8" i="7" s="1"/>
  <c r="M9" i="7" a="1"/>
  <c r="M9" i="7" s="1"/>
  <c r="N14" i="17"/>
  <c r="M14" i="26" s="1"/>
  <c r="N20" i="17"/>
  <c r="N24" i="17"/>
  <c r="N21" i="17"/>
  <c r="N25" i="17"/>
  <c r="N29" i="17"/>
  <c r="N19" i="17"/>
  <c r="N23" i="17"/>
  <c r="N28" i="17"/>
  <c r="N18" i="17"/>
  <c r="N22" i="17"/>
  <c r="N26" i="17"/>
  <c r="N27" i="17"/>
  <c r="H15" i="28" a="1"/>
  <c r="H15" i="28" s="1"/>
  <c r="G15" i="28" a="1"/>
  <c r="G15" i="28" s="1"/>
  <c r="D15" i="28" a="1"/>
  <c r="D15" i="28" s="1"/>
  <c r="C15" i="28" a="1"/>
  <c r="C15" i="28" s="1"/>
  <c r="F14" i="28"/>
  <c r="B15" i="28" s="1"/>
  <c r="E15" i="28" a="1"/>
  <c r="E15" i="28" s="1"/>
  <c r="N52" i="17" a="1"/>
  <c r="N52" i="17" s="1"/>
  <c r="I19" i="26"/>
  <c r="K51" i="17" a="1"/>
  <c r="K51" i="17" s="1"/>
  <c r="K56" i="17" s="1"/>
  <c r="N35" i="17" a="1"/>
  <c r="N35" i="17" s="1"/>
  <c r="N41" i="17" a="1"/>
  <c r="N41" i="17" s="1"/>
  <c r="N54" i="17" a="1"/>
  <c r="N54" i="17" s="1"/>
  <c r="N15" i="17" a="1"/>
  <c r="N15" i="17" s="1"/>
  <c r="N50" i="17" a="1"/>
  <c r="N50" i="17" s="1"/>
  <c r="N7" i="17" a="1"/>
  <c r="N7" i="17" s="1"/>
  <c r="N8" i="17" a="1"/>
  <c r="N8" i="17" s="1"/>
  <c r="N10" i="17" a="1"/>
  <c r="N10" i="17" s="1"/>
  <c r="N9" i="17" a="1"/>
  <c r="N9" i="17" s="1"/>
  <c r="N46" i="17" a="1"/>
  <c r="N46" i="17" s="1"/>
  <c r="N11" i="17" a="1"/>
  <c r="N11" i="17" s="1"/>
  <c r="N16" i="17" a="1"/>
  <c r="N16" i="17" s="1"/>
  <c r="N53" i="17" a="1"/>
  <c r="N53" i="17" s="1"/>
  <c r="N55" i="17" a="1"/>
  <c r="N55" i="17" s="1"/>
  <c r="N40" i="17" a="1"/>
  <c r="N40" i="17" s="1"/>
  <c r="K14" i="28"/>
  <c r="G19" i="27"/>
  <c r="J19" i="27" s="1"/>
  <c r="M44" i="7" a="1"/>
  <c r="M44" i="7" s="1"/>
  <c r="M21" i="7" a="1"/>
  <c r="M21" i="7" s="1"/>
  <c r="M17" i="7" a="1"/>
  <c r="M17" i="7" s="1"/>
  <c r="M25" i="7" a="1"/>
  <c r="M25" i="7" s="1"/>
  <c r="M16" i="7" a="1"/>
  <c r="M16" i="7" s="1"/>
  <c r="M11" i="7" a="1"/>
  <c r="M11" i="7" s="1"/>
  <c r="M29" i="7" a="1"/>
  <c r="M29" i="7" s="1"/>
  <c r="M19" i="7" a="1"/>
  <c r="M19" i="7" s="1"/>
  <c r="M15" i="7" a="1"/>
  <c r="M15" i="7" s="1"/>
  <c r="M23" i="7" a="1"/>
  <c r="M23" i="7" s="1"/>
  <c r="M46" i="7" a="1"/>
  <c r="M46" i="7" s="1"/>
  <c r="M33" i="26" s="1"/>
  <c r="M36" i="26" s="1"/>
  <c r="M42" i="7" a="1"/>
  <c r="M42" i="7" s="1"/>
  <c r="M38" i="7" a="1"/>
  <c r="M38" i="7" s="1"/>
  <c r="M34" i="7" a="1"/>
  <c r="M34" i="7" s="1"/>
  <c r="M30" i="7" a="1"/>
  <c r="M30" i="7" s="1"/>
  <c r="M28" i="7" a="1"/>
  <c r="M28" i="7" s="1"/>
  <c r="M24" i="7" a="1"/>
  <c r="M24" i="7" s="1"/>
  <c r="M39" i="7" a="1"/>
  <c r="M39" i="7" s="1"/>
  <c r="M36" i="7" a="1"/>
  <c r="M36" i="7" s="1"/>
  <c r="M33" i="7" a="1"/>
  <c r="M33" i="7" s="1"/>
  <c r="M14" i="7" a="1"/>
  <c r="M14" i="7" s="1"/>
  <c r="M22" i="7" a="1"/>
  <c r="M22" i="7" s="1"/>
  <c r="M26" i="7" a="1"/>
  <c r="M26" i="7" s="1"/>
  <c r="M20" i="7" a="1"/>
  <c r="M20" i="7" s="1"/>
  <c r="M18" i="7" a="1"/>
  <c r="M18" i="7" s="1"/>
  <c r="M27" i="7" a="1"/>
  <c r="M27" i="7" s="1"/>
  <c r="M5" i="7" a="1"/>
  <c r="M5" i="7" s="1"/>
  <c r="M13" i="7" a="1"/>
  <c r="M13" i="7" s="1"/>
  <c r="L40" i="7"/>
  <c r="L10" i="7"/>
  <c r="L35" i="7"/>
  <c r="A16" i="28"/>
  <c r="N4" i="7"/>
  <c r="L31" i="7"/>
  <c r="J14" i="28"/>
  <c r="J47" i="7"/>
  <c r="K43" i="17" s="1"/>
  <c r="I18" i="27"/>
  <c r="J18" i="27"/>
  <c r="I14" i="28"/>
  <c r="K17" i="27"/>
  <c r="H18" i="27" s="1"/>
  <c r="K41" i="7"/>
  <c r="K43" i="7" s="1"/>
  <c r="K45" i="7" s="1"/>
  <c r="K6" i="26" s="1"/>
  <c r="H58" i="17"/>
  <c r="C5" i="27"/>
  <c r="A9" i="27" s="1"/>
  <c r="N34" i="17"/>
  <c r="N32" i="17"/>
  <c r="N31" i="17"/>
  <c r="N30" i="17"/>
  <c r="N17" i="17"/>
  <c r="P4" i="17"/>
  <c r="I57" i="17"/>
  <c r="I59" i="17" s="1"/>
  <c r="F60" i="17"/>
  <c r="F61" i="17"/>
  <c r="F39" i="26"/>
  <c r="G60" i="17" s="1"/>
  <c r="G25" i="26"/>
  <c r="G37" i="26" s="1"/>
  <c r="H22" i="26"/>
  <c r="N49" i="17"/>
  <c r="M18" i="26" s="1"/>
  <c r="J44" i="17"/>
  <c r="K42" i="17"/>
  <c r="J12" i="17"/>
  <c r="J37" i="17" s="1"/>
  <c r="K36" i="17"/>
  <c r="J47" i="17"/>
  <c r="O4" i="17"/>
  <c r="O33" i="17" s="1"/>
  <c r="P33" i="17" s="1"/>
  <c r="N6" i="7" l="1" a="1"/>
  <c r="N6" i="7" s="1"/>
  <c r="O6" i="7" s="1"/>
  <c r="N7" i="7" a="1"/>
  <c r="N7" i="7" s="1"/>
  <c r="O7" i="7" s="1"/>
  <c r="N8" i="7" a="1"/>
  <c r="N8" i="7" s="1"/>
  <c r="O8" i="7" s="1"/>
  <c r="N9" i="7" a="1"/>
  <c r="N9" i="7" s="1"/>
  <c r="O9" i="7" s="1"/>
  <c r="O14" i="17"/>
  <c r="O19" i="17"/>
  <c r="P19" i="17" s="1"/>
  <c r="O23" i="17"/>
  <c r="P23" i="17" s="1"/>
  <c r="O27" i="17"/>
  <c r="P27" i="17" s="1"/>
  <c r="O20" i="17"/>
  <c r="P20" i="17" s="1"/>
  <c r="O24" i="17"/>
  <c r="P24" i="17" s="1"/>
  <c r="O28" i="17"/>
  <c r="P28" i="17" s="1"/>
  <c r="O22" i="17"/>
  <c r="P22" i="17" s="1"/>
  <c r="O26" i="17"/>
  <c r="P26" i="17" s="1"/>
  <c r="O21" i="17"/>
  <c r="P21" i="17" s="1"/>
  <c r="O25" i="17"/>
  <c r="P25" i="17" s="1"/>
  <c r="O29" i="17"/>
  <c r="P29" i="17" s="1"/>
  <c r="O18" i="17"/>
  <c r="P18" i="17" s="1"/>
  <c r="C9" i="27" a="1"/>
  <c r="C9" i="27" s="1"/>
  <c r="D9" i="27" a="1"/>
  <c r="D9" i="27" s="1"/>
  <c r="H16" i="28" a="1"/>
  <c r="H16" i="28" s="1"/>
  <c r="G16" i="28" a="1"/>
  <c r="G16" i="28" s="1"/>
  <c r="D16" i="28" a="1"/>
  <c r="D16" i="28" s="1"/>
  <c r="C16" i="28" a="1"/>
  <c r="C16" i="28" s="1"/>
  <c r="F15" i="28"/>
  <c r="B16" i="28" s="1"/>
  <c r="E16" i="28" a="1"/>
  <c r="E16" i="28" s="1"/>
  <c r="I19" i="27"/>
  <c r="O52" i="17" a="1"/>
  <c r="O52" i="17" s="1"/>
  <c r="P52" i="17" s="1"/>
  <c r="J19" i="26"/>
  <c r="L51" i="17" a="1"/>
  <c r="L51" i="17" s="1"/>
  <c r="L56" i="17" s="1"/>
  <c r="O10" i="17" a="1"/>
  <c r="O10" i="17" s="1"/>
  <c r="P10" i="17" s="1"/>
  <c r="O40" i="17" a="1"/>
  <c r="O40" i="17" s="1"/>
  <c r="O8" i="17" a="1"/>
  <c r="O8" i="17" s="1"/>
  <c r="P8" i="17" s="1"/>
  <c r="O55" i="17" a="1"/>
  <c r="O55" i="17" s="1"/>
  <c r="P55" i="17" s="1"/>
  <c r="O7" i="17" a="1"/>
  <c r="O7" i="17" s="1"/>
  <c r="P7" i="17" s="1"/>
  <c r="O53" i="17" a="1"/>
  <c r="O53" i="17" s="1"/>
  <c r="P53" i="17" s="1"/>
  <c r="O50" i="17" a="1"/>
  <c r="O50" i="17" s="1"/>
  <c r="O16" i="17" a="1"/>
  <c r="O16" i="17" s="1"/>
  <c r="O15" i="17" a="1"/>
  <c r="O15" i="17" s="1"/>
  <c r="P15" i="17" s="1"/>
  <c r="O11" i="17" a="1"/>
  <c r="O11" i="17" s="1"/>
  <c r="P11" i="17" s="1"/>
  <c r="O54" i="17" a="1"/>
  <c r="O54" i="17" s="1"/>
  <c r="O46" i="17" a="1"/>
  <c r="O46" i="17" s="1"/>
  <c r="O41" i="17" a="1"/>
  <c r="O41" i="17" s="1"/>
  <c r="O9" i="17" a="1"/>
  <c r="O9" i="17" s="1"/>
  <c r="O35" i="17" a="1"/>
  <c r="O35" i="17" s="1"/>
  <c r="G20" i="27"/>
  <c r="I20" i="27" s="1"/>
  <c r="N34" i="7" a="1"/>
  <c r="N34" i="7" s="1"/>
  <c r="O34" i="7" s="1"/>
  <c r="N16" i="7" a="1"/>
  <c r="N16" i="7" s="1"/>
  <c r="O16" i="7" s="1"/>
  <c r="N42" i="7" a="1"/>
  <c r="N42" i="7" s="1"/>
  <c r="O42" i="7" s="1"/>
  <c r="N20" i="7" a="1"/>
  <c r="N20" i="7" s="1"/>
  <c r="O20" i="7" s="1"/>
  <c r="N19" i="7" a="1"/>
  <c r="N19" i="7" s="1"/>
  <c r="O19" i="7" s="1"/>
  <c r="N15" i="7" a="1"/>
  <c r="N15" i="7" s="1"/>
  <c r="O15" i="7" s="1"/>
  <c r="N24" i="7" a="1"/>
  <c r="N24" i="7" s="1"/>
  <c r="O24" i="7" s="1"/>
  <c r="N18" i="7" a="1"/>
  <c r="N18" i="7" s="1"/>
  <c r="O18" i="7" s="1"/>
  <c r="N14" i="7" a="1"/>
  <c r="N14" i="7" s="1"/>
  <c r="O14" i="7" s="1"/>
  <c r="N46" i="7" a="1"/>
  <c r="N46" i="7" s="1"/>
  <c r="N33" i="26" s="1"/>
  <c r="N36" i="26" s="1"/>
  <c r="N21" i="7" a="1"/>
  <c r="N21" i="7" s="1"/>
  <c r="O21" i="7" s="1"/>
  <c r="N13" i="7" a="1"/>
  <c r="N13" i="7" s="1"/>
  <c r="O13" i="7" s="1"/>
  <c r="N5" i="7" a="1"/>
  <c r="N5" i="7" s="1"/>
  <c r="O5" i="7" s="1"/>
  <c r="N38" i="7" a="1"/>
  <c r="N38" i="7" s="1"/>
  <c r="O38" i="7" s="1"/>
  <c r="N22" i="7" a="1"/>
  <c r="N22" i="7" s="1"/>
  <c r="O22" i="7" s="1"/>
  <c r="N17" i="7" a="1"/>
  <c r="N17" i="7" s="1"/>
  <c r="O17" i="7" s="1"/>
  <c r="N39" i="7" a="1"/>
  <c r="N39" i="7" s="1"/>
  <c r="O39" i="7" s="1"/>
  <c r="N44" i="7" a="1"/>
  <c r="N44" i="7" s="1"/>
  <c r="O44" i="7" s="1"/>
  <c r="N36" i="7" a="1"/>
  <c r="N36" i="7" s="1"/>
  <c r="O36" i="7" s="1"/>
  <c r="N33" i="7" a="1"/>
  <c r="N33" i="7" s="1"/>
  <c r="O33" i="7" s="1"/>
  <c r="N29" i="7" a="1"/>
  <c r="N29" i="7" s="1"/>
  <c r="O29" i="7" s="1"/>
  <c r="N27" i="7" a="1"/>
  <c r="N27" i="7" s="1"/>
  <c r="O27" i="7" s="1"/>
  <c r="N25" i="7" a="1"/>
  <c r="N25" i="7" s="1"/>
  <c r="O25" i="7" s="1"/>
  <c r="N11" i="7" a="1"/>
  <c r="N11" i="7" s="1"/>
  <c r="O11" i="7" s="1"/>
  <c r="N28" i="7" a="1"/>
  <c r="N28" i="7" s="1"/>
  <c r="O28" i="7" s="1"/>
  <c r="N23" i="7" a="1"/>
  <c r="N23" i="7" s="1"/>
  <c r="N26" i="7" a="1"/>
  <c r="N26" i="7" s="1"/>
  <c r="O26" i="7" s="1"/>
  <c r="N30" i="7" a="1"/>
  <c r="N30" i="7" s="1"/>
  <c r="O30" i="7" s="1"/>
  <c r="K15" i="28"/>
  <c r="M10" i="7"/>
  <c r="L41" i="7"/>
  <c r="L43" i="7" s="1"/>
  <c r="L45" i="7" s="1"/>
  <c r="L47" i="7" s="1"/>
  <c r="P4" i="7"/>
  <c r="O4" i="7"/>
  <c r="A17" i="28"/>
  <c r="M40" i="7"/>
  <c r="M35" i="7"/>
  <c r="M31" i="7"/>
  <c r="B9" i="27"/>
  <c r="K47" i="7"/>
  <c r="L43" i="17" s="1"/>
  <c r="K18" i="27"/>
  <c r="H19" i="27" s="1"/>
  <c r="A10" i="27"/>
  <c r="I15" i="28"/>
  <c r="J15" i="28"/>
  <c r="O34" i="17"/>
  <c r="P34" i="17" s="1"/>
  <c r="O32" i="17"/>
  <c r="P32" i="17" s="1"/>
  <c r="O31" i="17"/>
  <c r="P31" i="17" s="1"/>
  <c r="O30" i="17"/>
  <c r="P30" i="17" s="1"/>
  <c r="O17" i="17"/>
  <c r="I58" i="17"/>
  <c r="J57" i="17"/>
  <c r="J58" i="17" s="1"/>
  <c r="K44" i="17"/>
  <c r="G61" i="17"/>
  <c r="G38" i="26"/>
  <c r="G39" i="26" s="1"/>
  <c r="H25" i="26"/>
  <c r="H37" i="26" s="1"/>
  <c r="I22" i="26"/>
  <c r="P14" i="17"/>
  <c r="O49" i="17"/>
  <c r="L42" i="17"/>
  <c r="K12" i="17"/>
  <c r="K37" i="17" s="1"/>
  <c r="L36" i="17"/>
  <c r="K47" i="17"/>
  <c r="A11" i="27" l="1"/>
  <c r="D10" i="27" a="1"/>
  <c r="D10" i="27" s="1"/>
  <c r="C10" i="27" a="1"/>
  <c r="C10" i="27" s="1"/>
  <c r="H17" i="28" a="1"/>
  <c r="H17" i="28" s="1"/>
  <c r="G17" i="28" a="1"/>
  <c r="G17" i="28" s="1"/>
  <c r="D17" i="28" a="1"/>
  <c r="D17" i="28" s="1"/>
  <c r="C17" i="28" a="1"/>
  <c r="C17" i="28" s="1"/>
  <c r="F16" i="28"/>
  <c r="B17" i="28" s="1"/>
  <c r="K19" i="27"/>
  <c r="H20" i="27" s="1"/>
  <c r="E17" i="28" a="1"/>
  <c r="E17" i="28" s="1"/>
  <c r="J20" i="27"/>
  <c r="K19" i="26"/>
  <c r="M51" i="17" a="1"/>
  <c r="M51" i="17" s="1"/>
  <c r="I16" i="28"/>
  <c r="J16" i="28"/>
  <c r="N35" i="7"/>
  <c r="L6" i="26"/>
  <c r="O46" i="7"/>
  <c r="N40" i="7"/>
  <c r="N31" i="7"/>
  <c r="O10" i="7"/>
  <c r="M41" i="7"/>
  <c r="M43" i="7" s="1"/>
  <c r="M45" i="7" s="1"/>
  <c r="M6" i="26" s="1"/>
  <c r="N10" i="7"/>
  <c r="O23" i="7"/>
  <c r="O31" i="7" s="1"/>
  <c r="O35" i="7"/>
  <c r="O40" i="7"/>
  <c r="K16" i="28"/>
  <c r="P17" i="17"/>
  <c r="E9" i="27"/>
  <c r="B10" i="27" s="1"/>
  <c r="A12" i="27"/>
  <c r="J59" i="17"/>
  <c r="N14" i="26"/>
  <c r="O14" i="26" s="1"/>
  <c r="K57" i="17"/>
  <c r="K58" i="17" s="1"/>
  <c r="N18" i="26"/>
  <c r="O18" i="26" s="1"/>
  <c r="P49" i="17"/>
  <c r="O33" i="26"/>
  <c r="O36" i="26" s="1"/>
  <c r="H38" i="26"/>
  <c r="H39" i="26" s="1"/>
  <c r="H61" i="17"/>
  <c r="H60" i="17"/>
  <c r="I25" i="26"/>
  <c r="I37" i="26" s="1"/>
  <c r="J22" i="26"/>
  <c r="M43" i="17"/>
  <c r="L44" i="17"/>
  <c r="M42" i="17"/>
  <c r="P54" i="17"/>
  <c r="M36" i="17"/>
  <c r="L12" i="17"/>
  <c r="L37" i="17" s="1"/>
  <c r="P46" i="17"/>
  <c r="P47" i="17" s="1"/>
  <c r="L47" i="17"/>
  <c r="C12" i="27" l="1" a="1"/>
  <c r="C12" i="27" s="1"/>
  <c r="D12" i="27" a="1"/>
  <c r="D12" i="27" s="1"/>
  <c r="D11" i="27" a="1"/>
  <c r="D11" i="27" s="1"/>
  <c r="C11" i="27" a="1"/>
  <c r="C11" i="27" s="1"/>
  <c r="K20" i="27"/>
  <c r="F17" i="28"/>
  <c r="L19" i="26"/>
  <c r="N51" i="17" a="1"/>
  <c r="N51" i="17" s="1"/>
  <c r="M56" i="17"/>
  <c r="I17" i="28"/>
  <c r="N41" i="7"/>
  <c r="N43" i="7" s="1"/>
  <c r="N45" i="7" s="1"/>
  <c r="N47" i="7" s="1"/>
  <c r="M47" i="7"/>
  <c r="N43" i="17" s="1"/>
  <c r="J17" i="28"/>
  <c r="K17" i="28"/>
  <c r="O41" i="7"/>
  <c r="O43" i="7" s="1"/>
  <c r="O45" i="7" s="1"/>
  <c r="O47" i="7" s="1"/>
  <c r="E10" i="27"/>
  <c r="B11" i="27" s="1"/>
  <c r="A13" i="27"/>
  <c r="K59" i="17"/>
  <c r="L57" i="17"/>
  <c r="L58" i="17" s="1"/>
  <c r="I60" i="17"/>
  <c r="I38" i="26"/>
  <c r="I39" i="26" s="1"/>
  <c r="J61" i="17" s="1"/>
  <c r="I61" i="17"/>
  <c r="J25" i="26"/>
  <c r="J37" i="26" s="1"/>
  <c r="K22" i="26"/>
  <c r="P50" i="17"/>
  <c r="M44" i="17"/>
  <c r="N42" i="17"/>
  <c r="M12" i="17"/>
  <c r="M37" i="17" s="1"/>
  <c r="P16" i="17"/>
  <c r="P35" i="17"/>
  <c r="P41" i="17"/>
  <c r="N36" i="17"/>
  <c r="P40" i="17"/>
  <c r="M47" i="17"/>
  <c r="E11" i="27" l="1"/>
  <c r="B12" i="27" s="1"/>
  <c r="C13" i="27" a="1"/>
  <c r="C13" i="27" s="1"/>
  <c r="D13" i="27" a="1"/>
  <c r="D13" i="27" s="1"/>
  <c r="M19" i="26"/>
  <c r="O51" i="17" a="1"/>
  <c r="O51" i="17" s="1"/>
  <c r="N19" i="26" s="1"/>
  <c r="N56" i="17"/>
  <c r="N6" i="26"/>
  <c r="O6" i="26" s="1"/>
  <c r="L59" i="17"/>
  <c r="E12" i="27"/>
  <c r="B13" i="27" s="1"/>
  <c r="A14" i="27"/>
  <c r="O43" i="17"/>
  <c r="P43" i="17" s="1"/>
  <c r="P36" i="17"/>
  <c r="N44" i="17"/>
  <c r="J38" i="26"/>
  <c r="J39" i="26" s="1"/>
  <c r="J60" i="17"/>
  <c r="K25" i="26"/>
  <c r="K37" i="26" s="1"/>
  <c r="L22" i="26"/>
  <c r="M57" i="17"/>
  <c r="M58" i="17" s="1"/>
  <c r="O42" i="17"/>
  <c r="P42" i="17" s="1"/>
  <c r="O36" i="17"/>
  <c r="N12" i="17"/>
  <c r="N37" i="17" s="1"/>
  <c r="P9" i="17"/>
  <c r="N47" i="17"/>
  <c r="O19" i="26" l="1"/>
  <c r="O22" i="26" s="1"/>
  <c r="O25" i="26" s="1"/>
  <c r="O37" i="26" s="1"/>
  <c r="O39" i="26" s="1"/>
  <c r="D14" i="27" a="1"/>
  <c r="D14" i="27" s="1"/>
  <c r="C14" i="27" a="1"/>
  <c r="C14" i="27" s="1"/>
  <c r="P51" i="17"/>
  <c r="P56" i="17" s="1"/>
  <c r="O56" i="17"/>
  <c r="E13" i="27"/>
  <c r="B14" i="27" s="1"/>
  <c r="A15" i="27"/>
  <c r="P44" i="17"/>
  <c r="P12" i="17"/>
  <c r="P37" i="17" s="1"/>
  <c r="N57" i="17"/>
  <c r="N58" i="17" s="1"/>
  <c r="K61" i="17"/>
  <c r="K60" i="17"/>
  <c r="K38" i="26"/>
  <c r="K39" i="26" s="1"/>
  <c r="L60" i="17" s="1"/>
  <c r="L25" i="26"/>
  <c r="L37" i="26" s="1"/>
  <c r="M22" i="26"/>
  <c r="N22" i="26"/>
  <c r="M59" i="17"/>
  <c r="O44" i="17"/>
  <c r="O12" i="17"/>
  <c r="O37" i="17" s="1"/>
  <c r="O47" i="17"/>
  <c r="D15" i="27" l="1" a="1"/>
  <c r="D15" i="27" s="1"/>
  <c r="C15" i="27" a="1"/>
  <c r="C15" i="27" s="1"/>
  <c r="P57" i="17"/>
  <c r="E14" i="27"/>
  <c r="B15" i="27" s="1"/>
  <c r="A16" i="27"/>
  <c r="N59" i="17"/>
  <c r="L61" i="17"/>
  <c r="L38" i="26"/>
  <c r="L39" i="26" s="1"/>
  <c r="N25" i="26"/>
  <c r="N37" i="26" s="1"/>
  <c r="M25" i="26"/>
  <c r="M37" i="26" s="1"/>
  <c r="O57" i="17"/>
  <c r="D16" i="27" l="1" a="1"/>
  <c r="D16" i="27" s="1"/>
  <c r="C16" i="27" a="1"/>
  <c r="C16" i="27" s="1"/>
  <c r="E15" i="27"/>
  <c r="B16" i="27" s="1"/>
  <c r="A17" i="27"/>
  <c r="M60" i="17"/>
  <c r="M61" i="17"/>
  <c r="M38" i="26"/>
  <c r="M39" i="26" s="1"/>
  <c r="O59" i="17"/>
  <c r="O58" i="17"/>
  <c r="C17" i="27" l="1" a="1"/>
  <c r="C17" i="27" s="1"/>
  <c r="D17" i="27" a="1"/>
  <c r="D17" i="27" s="1"/>
  <c r="E16" i="27"/>
  <c r="B17" i="27" s="1"/>
  <c r="A18" i="27"/>
  <c r="N60" i="17"/>
  <c r="N61" i="17"/>
  <c r="N38" i="26"/>
  <c r="N39" i="26" s="1"/>
  <c r="O60" i="17" s="1"/>
  <c r="D18" i="27" l="1" a="1"/>
  <c r="D18" i="27" s="1"/>
  <c r="C18" i="27" a="1"/>
  <c r="C18" i="27" s="1"/>
  <c r="E17" i="27"/>
  <c r="B18" i="27" s="1"/>
  <c r="A19" i="27"/>
  <c r="O61" i="17"/>
  <c r="C19" i="27" l="1" a="1"/>
  <c r="C19" i="27" s="1"/>
  <c r="D19" i="27" a="1"/>
  <c r="D19" i="27" s="1"/>
  <c r="E18" i="27"/>
  <c r="B19" i="27" s="1"/>
  <c r="A20" i="27"/>
  <c r="D20" i="27" l="1" a="1"/>
  <c r="D20" i="27" s="1"/>
  <c r="C20" i="27" a="1"/>
  <c r="C20" i="27" s="1"/>
  <c r="E19" i="27"/>
  <c r="B20" i="27" s="1"/>
  <c r="A21" i="27"/>
  <c r="D21" i="27" l="1" a="1"/>
  <c r="D21" i="27" s="1"/>
  <c r="C21" i="27" a="1"/>
  <c r="C21" i="27" s="1"/>
  <c r="E20" i="27"/>
  <c r="B21" i="27" s="1"/>
  <c r="A22" i="27"/>
  <c r="D22" i="27" l="1" a="1"/>
  <c r="D22" i="27" s="1"/>
  <c r="C22" i="27" a="1"/>
  <c r="C22" i="27" s="1"/>
  <c r="E21" i="27"/>
  <c r="B22" i="27" s="1"/>
  <c r="A23" i="27"/>
  <c r="C23" i="27" l="1" a="1"/>
  <c r="C23" i="27" s="1"/>
  <c r="D23" i="27" a="1"/>
  <c r="D23" i="27" s="1"/>
  <c r="E22" i="27"/>
  <c r="B23" i="27" s="1"/>
  <c r="A24" i="27"/>
  <c r="C24" i="27" l="1" a="1"/>
  <c r="C24" i="27" s="1"/>
  <c r="D24" i="27" a="1"/>
  <c r="D24" i="27" s="1"/>
  <c r="E23" i="27"/>
  <c r="B24" i="27" s="1"/>
  <c r="A25" i="27"/>
  <c r="D25" i="27" l="1" a="1"/>
  <c r="D25" i="27" s="1"/>
  <c r="C25" i="27" a="1"/>
  <c r="C25" i="27" s="1"/>
  <c r="E24" i="27"/>
  <c r="B25" i="27" s="1"/>
  <c r="A26" i="27"/>
  <c r="D26" i="27" l="1" a="1"/>
  <c r="D26" i="27" s="1"/>
  <c r="C26" i="27" a="1"/>
  <c r="C26" i="27" s="1"/>
  <c r="E25" i="27"/>
  <c r="B26" i="27" s="1"/>
  <c r="A27" i="27"/>
  <c r="D27" i="27" l="1" a="1"/>
  <c r="D27" i="27" s="1"/>
  <c r="C27" i="27" a="1"/>
  <c r="C27" i="27" s="1"/>
  <c r="E26" i="27"/>
  <c r="B27" i="27" s="1"/>
  <c r="A28" i="27"/>
  <c r="D28" i="27" l="1" a="1"/>
  <c r="D28" i="27" s="1"/>
  <c r="C28" i="27" a="1"/>
  <c r="C28" i="27" s="1"/>
  <c r="E27" i="27"/>
  <c r="B28" i="27" s="1"/>
  <c r="A29" i="27"/>
  <c r="C29" i="27" l="1" a="1"/>
  <c r="C29" i="27" s="1"/>
  <c r="D29" i="27" a="1"/>
  <c r="D29" i="27" s="1"/>
  <c r="E28" i="27"/>
  <c r="B29" i="27" s="1"/>
  <c r="A30" i="27"/>
  <c r="D30" i="27" l="1" a="1"/>
  <c r="D30" i="27" s="1"/>
  <c r="C30" i="27" a="1"/>
  <c r="C30" i="27" s="1"/>
  <c r="E29" i="27"/>
  <c r="B30" i="27" s="1"/>
  <c r="A31" i="27"/>
  <c r="D31" i="27" l="1" a="1"/>
  <c r="D31" i="27" s="1"/>
  <c r="C31" i="27" a="1"/>
  <c r="C31" i="27" s="1"/>
  <c r="E30" i="27"/>
  <c r="B31" i="27" s="1"/>
  <c r="A32" i="27"/>
  <c r="D32" i="27" l="1" a="1"/>
  <c r="D32" i="27" s="1"/>
  <c r="C32" i="27" a="1"/>
  <c r="C32" i="27" s="1"/>
  <c r="E31" i="27"/>
  <c r="B32" i="27" s="1"/>
  <c r="A33" i="27"/>
  <c r="C33" i="27" l="1" a="1"/>
  <c r="C33" i="27" s="1"/>
  <c r="D33" i="27" a="1"/>
  <c r="D33" i="27" s="1"/>
  <c r="E32" i="27"/>
  <c r="B33" i="27" s="1"/>
  <c r="A34" i="27"/>
  <c r="D34" i="27" l="1" a="1"/>
  <c r="D34" i="27" s="1"/>
  <c r="C34" i="27" a="1"/>
  <c r="C34" i="27" s="1"/>
  <c r="E33" i="27"/>
  <c r="B34" i="27" s="1"/>
  <c r="A35" i="27"/>
  <c r="C35" i="27" l="1" a="1"/>
  <c r="C35" i="27" s="1"/>
  <c r="D35" i="27" a="1"/>
  <c r="D35" i="27" s="1"/>
  <c r="E34" i="27"/>
  <c r="B35" i="27" s="1"/>
  <c r="A36" i="27"/>
  <c r="C36" i="27" l="1" a="1"/>
  <c r="C36" i="27" s="1"/>
  <c r="D36" i="27" a="1"/>
  <c r="D36" i="27" s="1"/>
  <c r="E35" i="27"/>
  <c r="B36" i="27" s="1"/>
  <c r="A37" i="27"/>
  <c r="D37" i="27" l="1" a="1"/>
  <c r="D37" i="27" s="1"/>
  <c r="C37" i="27" a="1"/>
  <c r="C37" i="27" s="1"/>
  <c r="E36" i="27"/>
  <c r="B37" i="27" s="1"/>
  <c r="A38" i="27"/>
  <c r="C38" i="27" l="1" a="1"/>
  <c r="C38" i="27" s="1"/>
  <c r="D38" i="27" a="1"/>
  <c r="D38" i="27" s="1"/>
  <c r="E37" i="27"/>
  <c r="B38" i="27" s="1"/>
  <c r="A39" i="27"/>
  <c r="D39" i="27" l="1" a="1"/>
  <c r="D39" i="27" s="1"/>
  <c r="C39" i="27" a="1"/>
  <c r="C39" i="27" s="1"/>
  <c r="E38" i="27"/>
  <c r="B39" i="27" s="1"/>
  <c r="E39" i="27"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<sst xmlns="http://schemas.openxmlformats.org/spreadsheetml/2006/main" count="1365" uniqueCount="818">
  <si>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</si>
  <si>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Recording Transactions - Income</t>
  </si>
  <si>
    <t>Trial Balance</t>
  </si>
  <si>
    <t>Sales Tax</t>
  </si>
  <si>
    <t>Help &amp; Customization</t>
  </si>
  <si>
    <t>Supplier</t>
  </si>
  <si>
    <t>Reference</t>
  </si>
  <si>
    <t>Description</t>
  </si>
  <si>
    <t>Instructions</t>
  </si>
  <si>
    <t>Recording Transactions - Expenses</t>
  </si>
  <si>
    <t>www.excel-skills.com</t>
  </si>
  <si>
    <t>Business Name</t>
  </si>
  <si>
    <t>Other Income</t>
  </si>
  <si>
    <t>Bank Charges</t>
  </si>
  <si>
    <t>Computer Expenses</t>
  </si>
  <si>
    <t>Entertainment</t>
  </si>
  <si>
    <t>Insurance</t>
  </si>
  <si>
    <t>Office Expenses</t>
  </si>
  <si>
    <t>Postage</t>
  </si>
  <si>
    <t>Professional &amp; Legal Fees</t>
  </si>
  <si>
    <t>Stationery</t>
  </si>
  <si>
    <t>Subscriptions &amp; Memberships</t>
  </si>
  <si>
    <t>Telephone &amp; Internet</t>
  </si>
  <si>
    <t>Training</t>
  </si>
  <si>
    <t>Travelling &amp; Accommodation</t>
  </si>
  <si>
    <t>Office Rent</t>
  </si>
  <si>
    <t>Commission</t>
  </si>
  <si>
    <t>Utilities</t>
  </si>
  <si>
    <t>Consumables &amp; Cleaning</t>
  </si>
  <si>
    <t>Interest Paid</t>
  </si>
  <si>
    <t>Taxation</t>
  </si>
  <si>
    <t>Long Term Liabilities</t>
  </si>
  <si>
    <t>Invoice Date</t>
  </si>
  <si>
    <t>Customer</t>
  </si>
  <si>
    <t>Invoice Number</t>
  </si>
  <si>
    <t>Payment Date</t>
  </si>
  <si>
    <t>Tax Inclusive Amount</t>
  </si>
  <si>
    <t>Exclusive Amount</t>
  </si>
  <si>
    <t>Document Date</t>
  </si>
  <si>
    <t>Other Expenses</t>
  </si>
  <si>
    <t>Retained Earnings</t>
  </si>
  <si>
    <t>Total Assets</t>
  </si>
  <si>
    <t>Total Equity &amp; Liabilities</t>
  </si>
  <si>
    <t>Balance Sheet</t>
  </si>
  <si>
    <t>Control Accounts</t>
  </si>
  <si>
    <t>Investments</t>
  </si>
  <si>
    <t>Other Debtors</t>
  </si>
  <si>
    <t>Reserves</t>
  </si>
  <si>
    <t>Depreciation</t>
  </si>
  <si>
    <t>Trade Debtors</t>
  </si>
  <si>
    <t>Trade Creditors</t>
  </si>
  <si>
    <t>E</t>
  </si>
  <si>
    <t>Roll Forward for Subsequent Financial Periods</t>
  </si>
  <si>
    <t>Advertising &amp; Marketing</t>
  </si>
  <si>
    <t>Inclusive Amount</t>
  </si>
  <si>
    <t>Bank Accounts</t>
  </si>
  <si>
    <t>Code</t>
  </si>
  <si>
    <t>B1</t>
  </si>
  <si>
    <t>B2</t>
  </si>
  <si>
    <t>B3</t>
  </si>
  <si>
    <t>PC</t>
  </si>
  <si>
    <t>Input Error Codes</t>
  </si>
  <si>
    <t>Reason</t>
  </si>
  <si>
    <t>E1</t>
  </si>
  <si>
    <t>Payment date is before the invoice / document date</t>
  </si>
  <si>
    <t>E2</t>
  </si>
  <si>
    <t>Account number is invalid</t>
  </si>
  <si>
    <t>E3</t>
  </si>
  <si>
    <t>Bank code is invalid</t>
  </si>
  <si>
    <t>Cash Transfer Control</t>
  </si>
  <si>
    <t>Bank Code</t>
  </si>
  <si>
    <t>Error Code</t>
  </si>
  <si>
    <t>Expenses &amp; Other Payments</t>
  </si>
  <si>
    <t>Note: Petty cash transactions should be treated in the same way as transactions that are processed through a bank account. This means that petty cash reimbursements should also be treated as transfers between bank accounts and allocated to the Cash Transfer Control account. Both the withdrawal out of the appropriate bank account and the "deposit" of cash into the petty cash account should therefore be recorded.</t>
  </si>
  <si>
    <t>Error Codes</t>
  </si>
  <si>
    <t>The following error codes may result from inaccurate input on the Income and Expenses sheets and will be displayed in the Error Code columns. The heading of the affected input column will be highlighted in orange:</t>
  </si>
  <si>
    <t>■ Review the Income and Expenses sheets and ensure that there are no error codes in the Error Code columns. The Error Code columns on both sheets should contain no error codes - if an error code is displayed in any transaction row, refer to the Error Codes section of these instructions for guidance on the reason why an error code is displayed and the corrective action that needs to be taken.</t>
  </si>
  <si>
    <t>■ Review the Income and Expenses sheets and ensure that a bank code has been allocated to all transactions. If there are any blank cells in the Bank Code column, select the appropriate bank code from the list box.</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</si>
  <si>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</si>
  <si>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</si>
  <si>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Setup</t>
  </si>
  <si>
    <t>Report Setup</t>
  </si>
  <si>
    <t>ASSETS</t>
  </si>
  <si>
    <t>Non-Current Assets</t>
  </si>
  <si>
    <t>Property, Plant &amp; Equipment - Cost</t>
  </si>
  <si>
    <t>Intangible Assets - Cost</t>
  </si>
  <si>
    <t>Intangible Assets - Amortization</t>
  </si>
  <si>
    <t>Land &amp; Buildings - Cost</t>
  </si>
  <si>
    <t>Plant &amp; Equipment - Cost</t>
  </si>
  <si>
    <t>Furniture &amp; Fittings - Cost</t>
  </si>
  <si>
    <t>Office Equipment - Cost</t>
  </si>
  <si>
    <t>Computer Equipment - Cost</t>
  </si>
  <si>
    <t>Other Assets - Cost</t>
  </si>
  <si>
    <t>Land &amp; Buildings - Accum Depreciation</t>
  </si>
  <si>
    <t>Plant &amp; Equipment - Accum Depreciation</t>
  </si>
  <si>
    <t>Furniture &amp; Fittings - Accum Depreciation</t>
  </si>
  <si>
    <t>Office Equipment -  Accum Depreciation</t>
  </si>
  <si>
    <t>Computer Equipment -  Accum Depreciation</t>
  </si>
  <si>
    <t>Other Assets -  Accum Depreciation</t>
  </si>
  <si>
    <t>Goodwill - Cost</t>
  </si>
  <si>
    <t>Trademarks - Cost</t>
  </si>
  <si>
    <t>Software - Cost</t>
  </si>
  <si>
    <t>Goodwill - Accum Amortization</t>
  </si>
  <si>
    <t>Trademarks - Accum Amortization</t>
  </si>
  <si>
    <t>Software - Accum Amortization</t>
  </si>
  <si>
    <t>Loans &amp; Advances</t>
  </si>
  <si>
    <t>Current Assets</t>
  </si>
  <si>
    <t>Prepayments</t>
  </si>
  <si>
    <t>Cash On Hand</t>
  </si>
  <si>
    <t>PC Petty Cash</t>
  </si>
  <si>
    <t>End of list</t>
  </si>
  <si>
    <t>JC</t>
  </si>
  <si>
    <t>GL Journal Control</t>
  </si>
  <si>
    <t>EQUITY &amp; LIABILITIES</t>
  </si>
  <si>
    <t>Equity</t>
  </si>
  <si>
    <t>Shareholders' Contributions</t>
  </si>
  <si>
    <t>Non-Current Liabilities</t>
  </si>
  <si>
    <t>Long Term Loans</t>
  </si>
  <si>
    <t>Current Liabilities</t>
  </si>
  <si>
    <t>Accruals</t>
  </si>
  <si>
    <t>Provision For Taxation</t>
  </si>
  <si>
    <t>Provision For Bonuses</t>
  </si>
  <si>
    <t>Payroll Accruals</t>
  </si>
  <si>
    <t>Interest Payable</t>
  </si>
  <si>
    <t>Dividends Payable</t>
  </si>
  <si>
    <t>Account 
Number</t>
  </si>
  <si>
    <t>Account Description</t>
  </si>
  <si>
    <t>Trial Balance: Opening Balance</t>
  </si>
  <si>
    <t>Trial Balance: Closing Balance</t>
  </si>
  <si>
    <t>Template: 
Opening Balance</t>
  </si>
  <si>
    <t>Account 
Movement</t>
  </si>
  <si>
    <t>Amortization</t>
  </si>
  <si>
    <t>Dividends</t>
  </si>
  <si>
    <t>Foreign Exchange Loss</t>
  </si>
  <si>
    <t>Loss on Disposal of Assets</t>
  </si>
  <si>
    <t>Property, Plant &amp; Equipment - Accum Dep</t>
  </si>
  <si>
    <t>BS-0005</t>
  </si>
  <si>
    <t>BS-0010</t>
  </si>
  <si>
    <t>BS-0015</t>
  </si>
  <si>
    <t>BS-0020</t>
  </si>
  <si>
    <t>BS-0025</t>
  </si>
  <si>
    <t>BS-0030</t>
  </si>
  <si>
    <t>BS-0105</t>
  </si>
  <si>
    <t>BS-0110</t>
  </si>
  <si>
    <t>BS-0115</t>
  </si>
  <si>
    <t>BS-0120</t>
  </si>
  <si>
    <t>BS-0125</t>
  </si>
  <si>
    <t>BS-0130</t>
  </si>
  <si>
    <t>BS-00G</t>
  </si>
  <si>
    <t>BS-01G</t>
  </si>
  <si>
    <t>BS-0205</t>
  </si>
  <si>
    <t>BS-0210</t>
  </si>
  <si>
    <t>BS-0215</t>
  </si>
  <si>
    <t>BS-0305</t>
  </si>
  <si>
    <t>BS-0310</t>
  </si>
  <si>
    <t>BS-0315</t>
  </si>
  <si>
    <t>BS-0400</t>
  </si>
  <si>
    <t>BS-0500</t>
  </si>
  <si>
    <t>BS-03G</t>
  </si>
  <si>
    <t>BS-04G</t>
  </si>
  <si>
    <t>BS-02G</t>
  </si>
  <si>
    <t>BS-RCG</t>
  </si>
  <si>
    <t>BS-05G</t>
  </si>
  <si>
    <t>BS-0900</t>
  </si>
  <si>
    <t>BS-0905</t>
  </si>
  <si>
    <t>BS-09G</t>
  </si>
  <si>
    <t>BS-PAG</t>
  </si>
  <si>
    <t>BS-RTG</t>
  </si>
  <si>
    <t>BS-0700</t>
  </si>
  <si>
    <t>BS-0799</t>
  </si>
  <si>
    <t>BS-07G</t>
  </si>
  <si>
    <t>BS-1300</t>
  </si>
  <si>
    <t>BS-1305</t>
  </si>
  <si>
    <t>BS-1310</t>
  </si>
  <si>
    <t>BS-13G</t>
  </si>
  <si>
    <t>BS-1405</t>
  </si>
  <si>
    <t>BS-14G</t>
  </si>
  <si>
    <t>BS-15G</t>
  </si>
  <si>
    <t>BS-1700</t>
  </si>
  <si>
    <t>BS-17G</t>
  </si>
  <si>
    <t>BS-18G</t>
  </si>
  <si>
    <t>BS-ING</t>
  </si>
  <si>
    <t>BS-16G</t>
  </si>
  <si>
    <t>IS-0305</t>
  </si>
  <si>
    <t>IS-0310</t>
  </si>
  <si>
    <t>IS-0315</t>
  </si>
  <si>
    <t>IS-0320</t>
  </si>
  <si>
    <t>IS-0325</t>
  </si>
  <si>
    <t>IS-0330</t>
  </si>
  <si>
    <t>IS-0335</t>
  </si>
  <si>
    <t>IS-0340</t>
  </si>
  <si>
    <t>IS-0345</t>
  </si>
  <si>
    <t>IS-0350</t>
  </si>
  <si>
    <t>IS-0355</t>
  </si>
  <si>
    <t>IS-0360</t>
  </si>
  <si>
    <t>IS-0365</t>
  </si>
  <si>
    <t>IS-0370</t>
  </si>
  <si>
    <t>IS-0375</t>
  </si>
  <si>
    <t>IS-0380</t>
  </si>
  <si>
    <t>IS-0385</t>
  </si>
  <si>
    <t>IS-0390</t>
  </si>
  <si>
    <t>IS-0505</t>
  </si>
  <si>
    <t>IS-0510</t>
  </si>
  <si>
    <t>IS-0600</t>
  </si>
  <si>
    <t>IS-0700</t>
  </si>
  <si>
    <t>IS-0800</t>
  </si>
  <si>
    <t>IS-0805</t>
  </si>
  <si>
    <t>IS-0810</t>
  </si>
  <si>
    <t>IS-0900</t>
  </si>
  <si>
    <t>IS-1000</t>
  </si>
  <si>
    <t>IS-0110</t>
  </si>
  <si>
    <t>IS-0105</t>
  </si>
  <si>
    <t>IS-0115</t>
  </si>
  <si>
    <t>Account Group Setup</t>
  </si>
  <si>
    <t>BS-1900</t>
  </si>
  <si>
    <t>BS-00</t>
  </si>
  <si>
    <t>BS-01</t>
  </si>
  <si>
    <t>BS-02</t>
  </si>
  <si>
    <t>BS-03</t>
  </si>
  <si>
    <t>BS-04</t>
  </si>
  <si>
    <t>BS-05</t>
  </si>
  <si>
    <t>BS-07</t>
  </si>
  <si>
    <t>BS-09</t>
  </si>
  <si>
    <t>BS-13</t>
  </si>
  <si>
    <t>BS-14</t>
  </si>
  <si>
    <t>BS-15</t>
  </si>
  <si>
    <t>BS-16</t>
  </si>
  <si>
    <t>BS-17</t>
  </si>
  <si>
    <t>BS-18</t>
  </si>
  <si>
    <t>BS-19</t>
  </si>
  <si>
    <t>Operating Expenses</t>
  </si>
  <si>
    <t>Staff Costs</t>
  </si>
  <si>
    <t>Depreciation &amp; Amortization</t>
  </si>
  <si>
    <t>Taxation Paid</t>
  </si>
  <si>
    <t>Dividends Paid</t>
  </si>
  <si>
    <t>IS-01</t>
  </si>
  <si>
    <t>IS-03</t>
  </si>
  <si>
    <t>IS-04</t>
  </si>
  <si>
    <t>IS-05</t>
  </si>
  <si>
    <t>IS-06</t>
  </si>
  <si>
    <t>IS-07</t>
  </si>
  <si>
    <t>IS-08</t>
  </si>
  <si>
    <t>IS-09</t>
  </si>
  <si>
    <t>IS-10</t>
  </si>
  <si>
    <t>© www.excel-skills.com</t>
  </si>
  <si>
    <t>Group 
Key</t>
  </si>
  <si>
    <t>Group Description</t>
  </si>
  <si>
    <t>Income From Services</t>
  </si>
  <si>
    <t>BS-B</t>
  </si>
  <si>
    <t>Retained Earnings - Opening</t>
  </si>
  <si>
    <t>Retained Earnings - Current</t>
  </si>
  <si>
    <t>Key</t>
  </si>
  <si>
    <t>BS-RC</t>
  </si>
  <si>
    <t>BS-PA</t>
  </si>
  <si>
    <t>BS-RT</t>
  </si>
  <si>
    <t>BS-IN</t>
  </si>
  <si>
    <t>IS-09G</t>
  </si>
  <si>
    <t>Total Turnover</t>
  </si>
  <si>
    <t>IS-0405</t>
  </si>
  <si>
    <t>Salaries &amp; Wages - Staff</t>
  </si>
  <si>
    <t>IS-0410</t>
  </si>
  <si>
    <t>Salaries &amp; Wages - Management</t>
  </si>
  <si>
    <t>Total Operating Expenses</t>
  </si>
  <si>
    <t>Total Staff Costs</t>
  </si>
  <si>
    <t>Total Depreciation &amp; Amortization</t>
  </si>
  <si>
    <t>Profit / (Loss) before Interest &amp; Tax</t>
  </si>
  <si>
    <t>IS-06G</t>
  </si>
  <si>
    <t>Profit / (Loss) before tax</t>
  </si>
  <si>
    <t>Profit / (Loss) for the year</t>
  </si>
  <si>
    <t>IS-07G</t>
  </si>
  <si>
    <t>IS-10G</t>
  </si>
  <si>
    <t>Retained earnings for the year</t>
  </si>
  <si>
    <t>IS-08G</t>
  </si>
  <si>
    <t>Income Statement</t>
  </si>
  <si>
    <t>Cash Flow Statement</t>
  </si>
  <si>
    <t>Cash flows from operating activities</t>
  </si>
  <si>
    <t>Adjustment for non-cash expenses:</t>
  </si>
  <si>
    <t>Changes in operating assets &amp; liabilities</t>
  </si>
  <si>
    <t>Other Provisions</t>
  </si>
  <si>
    <t>Cash generated from operations</t>
  </si>
  <si>
    <t>Net cash from operating activities</t>
  </si>
  <si>
    <t>Cash flows from investing activities</t>
  </si>
  <si>
    <t>Net cash used in investing activities</t>
  </si>
  <si>
    <t>Cash flows from financing activities</t>
  </si>
  <si>
    <t>Net cash from financing activities</t>
  </si>
  <si>
    <t>Increase / (Decrease) in cash equivalents</t>
  </si>
  <si>
    <t>Cash &amp; cash equivalents at beginning of year</t>
  </si>
  <si>
    <t>Cash &amp; cash equivalents at end of year</t>
  </si>
  <si>
    <t>cash flow statement status</t>
  </si>
  <si>
    <t>balance sheet status</t>
  </si>
  <si>
    <t>Provision for Taxation</t>
  </si>
  <si>
    <t>BS-2000</t>
  </si>
  <si>
    <t>BS-20</t>
  </si>
  <si>
    <t>BS-1505</t>
  </si>
  <si>
    <t>BS-1610</t>
  </si>
  <si>
    <t>BS-1805</t>
  </si>
  <si>
    <t>BS-20G</t>
  </si>
  <si>
    <t>BS-19G</t>
  </si>
  <si>
    <t>Status</t>
  </si>
  <si>
    <t>TB Status</t>
  </si>
  <si>
    <t>BS Status</t>
  </si>
  <si>
    <t>Trial Balance &amp; Chart of Accounts</t>
  </si>
  <si>
    <t>* Should be set once when you start using the template</t>
  </si>
  <si>
    <t>** Change annually to roll reporting periods forward or back</t>
  </si>
  <si>
    <t>Percentage</t>
  </si>
  <si>
    <t>C</t>
  </si>
  <si>
    <t>Exempt</t>
  </si>
  <si>
    <t>Z</t>
  </si>
  <si>
    <t>Zero Rated</t>
  </si>
  <si>
    <t>Standard Sales Tax 3</t>
  </si>
  <si>
    <t>Payment Amount</t>
  </si>
  <si>
    <t>Outstanding Balance</t>
  </si>
  <si>
    <t>Balance Date</t>
  </si>
  <si>
    <t>Unique INV</t>
  </si>
  <si>
    <t>Month</t>
  </si>
  <si>
    <t>Day</t>
  </si>
  <si>
    <t>Income</t>
  </si>
  <si>
    <t>Expenses</t>
  </si>
  <si>
    <t>Opening</t>
  </si>
  <si>
    <t>Closing</t>
  </si>
  <si>
    <t>Output</t>
  </si>
  <si>
    <t>Input</t>
  </si>
  <si>
    <t xml:space="preserve">Payment </t>
  </si>
  <si>
    <t>Inclusive</t>
  </si>
  <si>
    <t>Recording of opening balances</t>
  </si>
  <si>
    <t>Assets are debit balances and should be entered as positive values.</t>
  </si>
  <si>
    <t>Liabilities are credit balances and should be entered as negative values.</t>
  </si>
  <si>
    <t>Equity items are credit balances and should be entered as negative values.</t>
  </si>
  <si>
    <t>Bank and trade debtor balances should be entered on the Income sheet.</t>
  </si>
  <si>
    <t>Trade creditor balances should be entered on the Expenses sheet.</t>
  </si>
  <si>
    <t>The total in column C should be nil if all opening balances have been entered correctly.</t>
  </si>
  <si>
    <t>Commission Received</t>
  </si>
  <si>
    <t>Account Number</t>
  </si>
  <si>
    <t>Use a trial balance as at the end of the period which is reflected at the top of the sheet in column C for entering opening balances.</t>
  </si>
  <si>
    <t>Effective %</t>
  </si>
  <si>
    <t>Net</t>
  </si>
  <si>
    <t>Monthly</t>
  </si>
  <si>
    <t>Daily For Selected Month</t>
  </si>
  <si>
    <t>Monthly For Financial Year</t>
  </si>
  <si>
    <t>Note: The main difference between our Basic and Service Based accounting templates is that the Service Based template also includes customer details and invoicing. If you do not need to produce invoices for customers, the Basic accounting template should be used.</t>
  </si>
  <si>
    <t>The template includes the following sheets:</t>
  </si>
  <si>
    <t>■ Open the TB sheet and ensure that the template opening balances (column C) add up to a total of nil. If your opening balances don't balance, the balance sheet will also not balance.</t>
  </si>
  <si>
    <t>First Day:</t>
  </si>
  <si>
    <t>First Financial Year *</t>
  </si>
  <si>
    <t>Reporting Year **</t>
  </si>
  <si>
    <t>The reporting year that is entered on the Setup sheet determines the 12 monthly periods that are included on the income statement, cash flow statement and balance sheet. The IS, CFS and BS sheets include 12 monthly periods - these periods and the calculations that are automatically performed on these sheets can therefore be amended by simply changing the reporting year on the Setup sheet to include a new 12-month financial period in these reports.</t>
  </si>
  <si>
    <t>Note: The first financial year basically needs to be set once when you start using the template but the reporting year can be used to roll the 12-month financial period that is included in the template forward or back by simply changing the year in this cell. The template can be used for multiple financial years and all template calculations are updated automatically when you change the reporting year.</t>
  </si>
  <si>
    <t>Year End Month</t>
  </si>
  <si>
    <t>Sales Tax Codes</t>
  </si>
  <si>
    <t>The template accommodates an unlimited number of sales tax codes. You can include as many sales tax codes as you want by editing the default list of sales tax codes on the Setup sheet and adding additional sales tax codes by inserting the required number of additional rows, entering a sales tax code (use letters between A and Z) and entering the appropriate sales tax percentage.</t>
  </si>
  <si>
    <t>Note: When adding bank account codes, we recommend inserting new rows anywhere above the JC bank account code and using a two character bank code for all new bank accounts. The JC bank account code is reserved for journal entries and the default code for this bank code should not be changed. Journals do not really have a cash effect but we are using the JC code to facilitate including general ledger journal type entries in the template.</t>
  </si>
  <si>
    <t>All the bank codes that are added to the Setup sheet are automatically included in the drop-down list boxes on the Income and Expenses sheets and are available for selection immediately after being added to the Setup sheet. If the default number of bank account codes (four including petty cash) is not sufficient for your requirements and you have added additional bank account codes to the Setup sheet, you also need to add these bank account codes to the TB and BS sheets.</t>
  </si>
  <si>
    <t>Note: It is very important that you add the additional bank account codes to the TB and BS sheets otherwise your trial balance and balance sheet will not balance!</t>
  </si>
  <si>
    <t>After adding the additional bank account codes to the TB sheet, you also need to add the new codes to the BS sheet. The procedure to follow is again really simple - insert the required number of additional rows above the JC bank account code (BS-BJC key in column A) and copy the formulas from one of the existing rows. You can copy the entire row to ensure that you have included the formulas in all columns. The formulas will automatically pick up the correct bank account codes.</t>
  </si>
  <si>
    <t>The input error codes at the bottom of the sheet are included for information purposes only and provide users with a reason for the error codes that may be encountered when entering transactions on the Income and Expenses sheets. These error codes are covered in more detail in the Error Codes section of these instructions.</t>
  </si>
  <si>
    <t>Chart of Accounts</t>
  </si>
  <si>
    <t>Account Groups</t>
  </si>
  <si>
    <t>Note: Changes to the Groups sheet do not influence any of the calculations on the other sheets and only have an effect on the account group descriptions that are included on the IS, CFS and BS sheets. If you want to make changes to our default account groups, we only recommend doing so if absolutely necessary and that you customize existing account groups before considering adding new account groups. Customizing similar, existing account groups which are not required is a lot easier than adding new account groups.</t>
  </si>
  <si>
    <t>Example: The account group key for property, plant &amp; equipment (cost) is BS-00 and the account group is included as a group total on the balance sheet (key of BS-00G) which means that all accounts that start with BS-00 will be included in this account group total on the balance sheet. The default account number for Land &amp; Buildings (cost) is BS-0005 which starts with BS-00 and therefore forms part of this account group.</t>
  </si>
  <si>
    <t>■ Scan the Groups sheet for similar items which you are not going to use. For an item to be similar, it needs to be of the same nature as the item that you want to add. For example, current assets can only be replaced by other current assets and liabilities can only be replaced by other liabilities. If the items differ in nature, you should add a new account group instead of using an existing one.</t>
  </si>
  <si>
    <t>■ If no suitable existing item can be found, insert a new row and add a new account group by entering the appropriate account group key and a description for the account group. When adding keys, you need to stick to the principle of a five character key which is unique and account numbers that need to be linked to this key, need to also start with the same five characters followed by a number between 00 and 99.</t>
  </si>
  <si>
    <t>■ When adding new account groups, we suggest using the next available account group number after the "BS-". The default balance sheet account groups end after "BS-20" which means that the first available account group is "BS-21". The default income statement account groups end after "IS-10" which means that the first available account group is "IS-11".</t>
  </si>
  <si>
    <t>■ After adding the appropriate account group to the Groups sheet, go to the TB sheet and add the required individual accounts which need to be included in the account group total on the balance sheet. Remember that the appropriate account numbers all need to start with the same first five characters as the account group and refer to the New Accounts section of these instructions for guidance on adding new accounts to the TB sheet.</t>
  </si>
  <si>
    <t>■ After adding the new account group to either the income statement or balance sheet, make sure that the total that this item is included in is correct. For most income statement or balance sheet items, this should automatically be the case but in some instances especially with regards to the income statement, you may need to edit some of the default formulas to ensure that the new account group is taken into account in the relevant totals.</t>
  </si>
  <si>
    <t>■ Next, if you have added a new balance sheet account group, you will also need to make changes to the cash flow statement. Income statement items are included in a cash flow statement by including a profit or loss from the income statement and it therefore probably won't be necessary to make changes to the cash flow statement if you have added a new income statement account group.</t>
  </si>
  <si>
    <t>■ If necessary, find a similar balance sheet item on the cash flow statement (CFS sheet), insert a new row above or below it, copy the entire row from the existing, similar line item and enter the new key in column A. Only similar items with a green key in column A should be used - the items with orange keys are custom formulas which cannot be copied for similar line items!</t>
  </si>
  <si>
    <t>■ Next, you need to add the new account group to the income statement or balance sheet. This is relatively simple - find a similar income statement or balance sheet item, insert a row above or below it, copy the entire row from the existing item into the new empty row and then change the account key in column A so that the new account group that you just created on the Groups sheet will be included in the calculations in the new line. For example, if your new account group has been created as BS-21, the key in column A on the balance sheet should be "BS-21G". Only similar items with a green key in column A should be used - the items with orange keys are custom formulas which cannot be copied for similar line items!</t>
  </si>
  <si>
    <t>■ You also need to ensure that the appropriate total on the cash flow statement includes the new account group which has been added otherwise your balance sheet may not balance.</t>
  </si>
  <si>
    <t>Note: Refer to the Account Integration section of the instructions for guidance on how to include individual accounts on the income statement or balance sheet. This section is part of the main Trial Balance section below.</t>
  </si>
  <si>
    <t>The accounts that are included on the income statement, cash flow statement and balance sheet are based on a pre-defined account structure which consists of pre-defined account groups that are used to populate the appropriate line items. A detailed list of these account groups is included on the Groups sheet.</t>
  </si>
  <si>
    <t>Note: If you do not change any of the default account groups, it is not necessary to review the rest of the instructions in the Account Groups section.</t>
  </si>
  <si>
    <t>Chart Of Accounts &amp; Trial Balance</t>
  </si>
  <si>
    <t>The default chart of accounts on the TB sheet includes all the individual accounts that have been created in each of the default account groups. Account groups constitute the first 5 characters of the account number and the individual account numbers are represented by the next two characters in the account numbers. Each account group can therefore accommodate up to 100 account numbers (00 to 99).</t>
  </si>
  <si>
    <t>The template can be customized for your business by reviewing the accounts that are included for each account group (as per the Groups sheet), changing the account descriptions in column B (where required) and inserting additional accounts if the number of accounts that are provided for in the default chart of accounts are not sufficient.</t>
  </si>
  <si>
    <t>Note: All new accounts need to be created within the existing account group structure (as per the Groups sheet) otherwise the template calculations may not be accurate and your balance sheet may not balance. New account groups can be created as per the Account Groups section of the instructions.</t>
  </si>
  <si>
    <t>Account Integration</t>
  </si>
  <si>
    <t>We have therefore added an account status in column H on the TB sheet where it is necessary to check the integration of an account (not necessary for control accounts). This column can have any of the following statuses:</t>
  </si>
  <si>
    <t>■ Group - individual account balances will be included as a group total on the income statement or balance sheet.</t>
  </si>
  <si>
    <t>■ Account - individual account balances will be included on the income statement or balance sheet.</t>
  </si>
  <si>
    <t>■ Double! - this status means that an account number integration has been added for the account number on both the individual account number and account group basis. If the integration for an account group is set up in such a way that accounts are integrated individually, you cannot also integrate the accounts on a group basis because the affected account balances will be included twice. The template calculations will be inaccurate if there is double integration. If individual account integration is applied, all the individual accounts that form part of an account group need to be included individually on the income statement or balance sheet.</t>
  </si>
  <si>
    <t>Note: If any row on the TB sheet contains an error or double status, the appropriate cell will be highlighted in red until the error is fixed. These errors usually result in imbalances on the balance sheet and therefore need to be fixed before the template calculations will be accurate.</t>
  </si>
  <si>
    <t>Control accounts are accounts that have a specific purpose in the context of the template design and can therefore not be edited or selected for the allocation of transactions. These accounts are automatically calculated based on the transactions that are recorded on the Income &amp; Expenses sheets and are included individually on the balance sheet and cash flow statement. This is also why all the control accounts are included in a separate section below the other accounts on the TB sheet.</t>
  </si>
  <si>
    <t>Note: Only the Income and Expenses account groups (excluding interest, taxation, dividends &amp; other income and expenses) are integrated on an individual account basis by default. If you therefore add additional accounts to these account groups or change any of the default account numbers in these sections, you will need to manually make the same changes to the appropriate items on the IS sheet.</t>
  </si>
  <si>
    <t>■ Error! - this status means that an account number has been created but no integration could be found for the new account number. You should check the account number format that you have entered and correct it if necessary. If the account number is correct, the error is probably the result of the account number not being included on the income statement or balance sheet.</t>
  </si>
  <si>
    <t>Opening Balances</t>
  </si>
  <si>
    <t>If you switch to our accounting template during the financial year, you need to enter the balance sheet accounts opening balances for the previous financial year as the template opening balances in column C on the TB sheet and record all transactions from the first day of the financial year on the Income and Expenses sheets.</t>
  </si>
  <si>
    <t>Note: The balance sheet opening balances should be based on a trial balance produced in your previous accounting solution as at the end of the financial year immediately before the first financial year that is included in the template. After entering all the opening balances, you also need to make sure that the total at the bottom of the TB sheet is nil otherwise your balance sheet will not balance.</t>
  </si>
  <si>
    <t>Note: The opening balances of all asset accounts should be entered as positive values and the opening balances of all liability &amp; equity accounts should be entered as negative values. This should be exactly as they are reflected on the trial balance in your previous accounting software.</t>
  </si>
  <si>
    <t>The opening balance for each of the bank codes that are included on the Setup sheet should be entered on the Income sheet as positive values. The month-end date of the month that precedes the first financial year which is specified on the Setup sheet should be entered in the invoice/document date and payment date columns. This approach will ensure that the opening bank balances are calculated correctly on the TB sheet.</t>
  </si>
  <si>
    <t>End of list - add accounts above this row</t>
  </si>
  <si>
    <t>The TB sheet effectively combines the chart of accounts and trial balance features. The trial balance consists of the opening balances at the start of the reporting period (which is specified on the Setup sheet), the account movement for the appropriate financial year and the closing balance at the end of the selected monthly period during the current financial year. All of these trial balance calculations are automatically calculated and included in columns E to G on the TB sheet.</t>
  </si>
  <si>
    <t>Note: The closing balances in column G are calculated based on the monthly period which is selected at the top of the sheet in the cell with the yellow cell background. If the reporting year on the Setup sheet is amended in such a way that the selected monthly period does not fall within the current financial year, this cell will be highlighted in red. You then need to select a valid month in order for the red highlighting to be removed.</t>
  </si>
  <si>
    <t>The monthly periods that are available for selection are the same as the monthly periods that are included on the monthly income statement, cash flow statement and balance sheet. You are therefore able to view a trial balance for any of the monthly periods in the current financial year by simply selecting the appropriate monthly period from the list box at the top of column G.</t>
  </si>
  <si>
    <t>A trail balance for any previous financial period which has been included in the template can also be viewed by simply changing the reporting year on the Setup sheet and then selecting the appropriate monthly period from the list box at the top of column G on the TB sheet.</t>
  </si>
  <si>
    <t>Adding new bank accounts</t>
  </si>
  <si>
    <t>The template includes five default bank codes but you can add an unlimited number of additional bank codes (or accounts) by adding the appropriate bank account codes &amp; descriptions to the Setup sheet. The new bank codes then also need to be added manually to the control accounts section on the TB sheet.</t>
  </si>
  <si>
    <t>This is actually a very simple exercise - simply insert the required number of new rows anywhere between the existing bank accounts in the control account section and copy the entire row from one of the existing bank account rows. All the formulas are automatically calculated &amp; updated with the correct bank codes.</t>
  </si>
  <si>
    <t>Note: Also remember that opening balances for all bank accounts need to be recorded on the Income sheet. If you add additional bank accounts to the TB sheet, the opening balances also need to be added to the Income sheet.</t>
  </si>
  <si>
    <t>The Income sheet contains the following user input columns:</t>
  </si>
  <si>
    <t>All income and other receipt transactions should be recorded on the Income sheet. User input is only required in the columns with yellow column headings. All the columns with light blue column headings contain formulas which are automatically copied when adding new transactions to the sheet.</t>
  </si>
  <si>
    <t>Note: All the columns on the Income sheet have been included in an Excel table. This feature is extremely useful when entering data in a table format because the formulas that are included in calculated columns (the columns with light blue column headings) are automatically copied when new rows are inserted into the table or when data is entered into the first blank row below the table. You can therefore enter a new transaction by simply entering an invoice number in column A - the table will then automatically extend to include the new transaction.</t>
  </si>
  <si>
    <t>The Income sheet contains the following calculated columns:</t>
  </si>
  <si>
    <t>Example: If you only want to display the income transactions for a particular invoice or payment month, you can filter the data based on the Invoice Date or Payment Date column by selecting the appropriate date filter from the filter menu that is displayed after clicking the selection arrow. After reviewing the filtered data, simply select the "Clear filter" option in the filtered column in order to remove the filter and to display all the transactions on the worksheet.</t>
  </si>
  <si>
    <t>Filtering Transactions</t>
  </si>
  <si>
    <t>Note that the visible row numbers are typically displayed in blue when a filter has been applied to the sheet. New transactions should not be entered while a filter is active on the sheet - if you see blue row numbers, all filters need to be removed before data is entered in the next blank row otherwise the Excel table may not extend automatically to include the new transaction.</t>
  </si>
  <si>
    <t>The sheet also contains totals above the column headings for all columns which contain values and which are suitable for the calculation of transaction totals. The formulas in these cells result in only the transactions that are visible on the worksheet being included in the calculation of the appropriate totals. If you therefore print the sheet while a filter is in effect, the totals above the column headings will be calculated accurately and only include the transactions that have been printed.</t>
  </si>
  <si>
    <t>Note: The drop-down lists in the Account Number column contains both the account number and description but only the account number should be selected when allocating transactions. Excel doesn't actually allow the inclusion of two columns in a drop-down list but we have implemented a work around to provide the account description together with the account number in the drop-down list. The disadvantage of this work around is that you will not be able to enter account numbers - you either need to select the account number from the list or copy a similar transaction that you have entered before. The column will also contain an error indicator which refers to a data validation error - this is to be expected because of the work around that we implemented and can safely be ignored.</t>
  </si>
  <si>
    <t>All the transactions that are entered on the Income sheet are automatically updated to the other sheets in this template. It is therefore imperative that all transactions are entered according to the guidance that is outlined in this section of the instructions otherwise it could result in imbalances in the template.</t>
  </si>
  <si>
    <t>Invoices with Multiple Lines</t>
  </si>
  <si>
    <t>Partial Payments</t>
  </si>
  <si>
    <t>Trade Debtors Balances</t>
  </si>
  <si>
    <t>Note: If the total of all the outstanding invoices does not agree to the balance sheet total, make sure that you have entered a unique invoice number for all invoices in column A and that there are no blank values in column A. If you leave invoice numbers blank, it may result in inaccurate outstanding balance calculations if any of the blank entries have not been paid in full.</t>
  </si>
  <si>
    <t>Recording Transactions - Transfers between Bank Accounts</t>
  </si>
  <si>
    <t>The Expenses sheet contains the following user input columns:</t>
  </si>
  <si>
    <t>All expenses and other payment transactions should be recorded on the Expenses sheet. We also recommend entering all journal entries on this sheet. User input is only required in the columns with yellow column headings. All the columns with light blue column headings contain formulas which are automatically copied when adding new transactions to the sheet.</t>
  </si>
  <si>
    <t>The Expenses sheet contains the following calculated columns:</t>
  </si>
  <si>
    <t>Example: If you only want to display the transactions for a particular invoice or payment month, you can filter the data based on the Document Date or Payment Date column by selecting the appropriate date filter from the filter menu that is displayed after clicking the selection arrow. After reviewing the filtered data, simply select the "Clear filter" option in the filtered column in order to remove the filter and to display all the transactions on the worksheet.</t>
  </si>
  <si>
    <t>Trade Creditors Balances</t>
  </si>
  <si>
    <t>When funds are transferred between two bank accounts, both the deposit and withdrawal entries need to be recorded. We recommend recording both entries on the Expenses sheet. The deposit entry should be recorded by selecting the bank account into which the funds are transferred and entering the transfer amount as a negative value. The withdrawal entry should be recorded by selecting the bank account from which the funds are transferred and entering a positive amount.</t>
  </si>
  <si>
    <t>Note: You can check whether the balance of the Cash Transfer Control account is nil by selecting the appropriate month end from the list box in cell G3 on the TB sheet and checking whether the balance for account BS-0799 is nil. If the balance is not nil, the transactions for the appropriate period should be reviewed in order to determine why the allocations to the Cash Transfer Control account do not result in a nil balance.</t>
  </si>
  <si>
    <t>Recording Transactions - General Ledger Journal Entries</t>
  </si>
  <si>
    <t>We recommend that all general ledger journal type entries are also recorded on the Expenses sheet. We have basically created a specific bank code for the recording of journal entries so that these transactions will not have any cash effect when recorded incorrectly.</t>
  </si>
  <si>
    <t>■ E1 - this error code means that the payment date on the Income or Expenses sheet is before the invoice or document date. These errors can be rectified by either amending the appropriate invoice or document date or amending the appropriate payment date.</t>
  </si>
  <si>
    <t>■ E2 - this error code means that the account number that has been selected on the Income or Expenses sheet is invalid. All the accounts that have been entered on the TB sheet will be included in the account number list boxes and the error can therefore be rectified by simply selecting a valid account number from the list box. New accounts must be created on the TB sheet before being available for selection.</t>
  </si>
  <si>
    <t>■ E3 - this error code means that the bank account code that has been selected is invalid. All the bank account codes that have been created on the Setup sheet will be included in the bank code list boxes and the error can therefore be rectified by simply selecting a valid bank account code from the list box. New bank account codes must be created on the Setup sheet before being available for selection.</t>
  </si>
  <si>
    <t>Note: Input errors may result in inaccurate template calculations and it is therefore imperative that all errors are resolved before reviewing the income statement, cash flow statement and balance sheet. These errors may in fact also cause the balance sheet not to balance.</t>
  </si>
  <si>
    <t>The default account integration has been set up in such a way that the turnover, operating expenses, staff costs and depreciation &amp; amortization account groups are the only ones that are integrated on an individual account basis. All other account groups are integrated on a group basis which means that all the accounts that are included in the appropriate account groups are included in one total line on the income statement.</t>
  </si>
  <si>
    <t>Note: You can easily identify a group integration on the income statement, cash flow statement and balance sheet by the key in column A ending in a "G". If the key does not end in a "G" but includes complete account numbers, it means that the appropriate lines are integrated on an individual account basis.</t>
  </si>
  <si>
    <t>When an account group is integrated on an individual account basis and you make changes to the account numbers on the TB sheet or if you add new accounts to the account group, you basically also need to make the same changes to the income statement or balance sheet. This means that you either need to update the key in column A if the account numbers have been changed or that you need to insert additional lines for new accounts, copy the formulas from one of the existing lines and edit the key in column A to reflect the new account number(s).</t>
  </si>
  <si>
    <t>The same process can be followed if you want to change the integration of an account group from account group reporting (with the "G" at the end) to individual account reporting. Additional lines need to be added for all the account numbers that form part of the appropriate account group, the formulas in all columns on the sheet can be copied from the existing line and the keys in column A then need to be replaced by the full account numbers. It may also be necessary to update the appropriate total or profit line which the account groups forms part of.</t>
  </si>
  <si>
    <t>Note: The same principles with regards to account group integration as included in the Income Statement section applies to the cash flow statement. We do not however recommend changing the default account group integration on this sheet. Most account groups are set to report on an account group total basis and there is no real benefit in switching to individual account integration on the cash flow statement.</t>
  </si>
  <si>
    <t>Note: The only changes that may be required are the addition of new lines if you have added any new account groups to the template. You then basically need to copy a line of a similar nature (which has a green key in column A) and change the key in column A so that the monthly amounts are calculated based on the new account group.</t>
  </si>
  <si>
    <t>Note: All the keys in column A which are reflected in orange contain custom calculations relating to specific control accounts which should not be copied for any new account group lines.</t>
  </si>
  <si>
    <t>The balances sheet account integration is set up to report account group totals for most of the balance sheet items. The exception is the individual bank accounts in the current assets section which all report individually. If you therefore add additional bank codes to the Setup sheet, you also need to add additional rows in this section to include the new bank codes in the balance sheet. You only need to insert the required number of additional rows and copy the formulas from one of the existing bank account lines to complete this process. The formulas will automatically pick up the correct bank codes.</t>
  </si>
  <si>
    <t>Note: If you convert one or more account groups from account group reporting to individual account reporting, you may also need to update the appropriate total column on the balance sheet.</t>
  </si>
  <si>
    <t>Balance Sheet Imbalances</t>
  </si>
  <si>
    <t>We have included two rows below the balance sheet that contain control totals which indicate whether the balance sheet is in balance. The first row indicates whether the balance sheet balances (which means that the total assets equal the total equity &amp; liabilities) and the second row indicates whether the total of all the bank account balances on the balance sheet agrees to the monthly closing cash balance on the cash flow statement.</t>
  </si>
  <si>
    <t>Both control totals should always display an "ok" text string but if there is a problem with the appropriate control total, an "error" message which is highlighted in orange will be displayed. This error message means that there is an imbalance in the template and the value of the imbalance will be displayed above the error message for balance sheet errors and below the error message for cash flow statement errors.</t>
  </si>
  <si>
    <t>We recommend completing the following steps when encountering errors:</t>
  </si>
  <si>
    <t>■ Review the invoice date, document date and payment date columns on the Income and Expenses sheets and ensure that all dates have been entered in accordance with the regional date settings that are specified in the System Control Panel. A quick way of checking this is to format the appropriate date column as values - all valid dates will then be displayed as values and invalid date entries will still be displayed as text which looks like a date. After reviewing all dates, remember to undo the value formatting otherwise the contents of the affected date column will contain values instead of dates.</t>
  </si>
  <si>
    <t>■ Review the Income and Expenses sheets and ensure that a valid account number has been selected for all transactions. If there are any blank cells in the Account Number column, select a valid account number from the drop-down list.</t>
  </si>
  <si>
    <t>■ Review the income statement, cash flow statement and balance sheet and check that there are no duplicate keys in column A. If you duplicate an account number or group key, the balance sheet will not balance.</t>
  </si>
  <si>
    <t>If you've completed all of the above steps and still cannot resolve the imbalance on the balance sheet, contact our Support function for assistance. You probably need to send us your version of the template so that we can determine what the cause of the imbalance is.</t>
  </si>
  <si>
    <t>After specifying the first financial year on the Setup sheet and including the appropriate opening balances in column C on the TB sheet, the template can be rolled forward for subsequent financial years quite easily. All you need to do in order to roll the template forward for subsequent financial years or back for previous financial years is to amend the reporting year on the Setup sheet.</t>
  </si>
  <si>
    <t>When you change the reporting year, the monthly reporting periods on all the sheets that are included in the template are automatically changed and all calculations are automatically updated. You therefore do not need to save a separate version of the template for each financial year - you simply continue adding transactions to the Income and Expenses sheets and use the reporting year setting on the Setup sheet to navigate between financial years.</t>
  </si>
  <si>
    <t>Bank Account Movement Analysis</t>
  </si>
  <si>
    <t>Note: If you want to display the bank account movement totals for all bank codes, simply clear the contents of the bank code input cell. If no monthly period is selected, the calculations will default to the last month of the current financial year.</t>
  </si>
  <si>
    <t>Sales Tax Analysis</t>
  </si>
  <si>
    <t>The Inclusive section provides the monthly totals inclusive of sales tax - as per the Income sheet for the Output column and as per the Expenses sheet for the Input column. These totals are usually required when completing sales tax returns.</t>
  </si>
  <si>
    <t>The net monthly column is calculated by deducting the monthly input tax value from the monthly output tax value and therefore represents the net monthly sales tax liability (or asset if the input exceeds the output). The effective monthly sales tax percentages are also calculated and included on the sheet.</t>
  </si>
  <si>
    <t>Note: We have also included a Bank sheet in the template which enables users to analyse bank account movements in a lot more detail especially when preparing bank reconciliations. This sheet enables users to select a bank account code and month at the top of the sheet in order to display daily and monthly bank account movements. Aside from selecting the bank code and month, the sheet requires no user input.</t>
  </si>
  <si>
    <t>The description of line items on the balance sheet can be changed quite easily by changing the description of the appropriate account group on the Groups sheet and then changing the account descriptions of the appropriate accounts which are included in the account group on the TB sheet. Account groups can accommodate up to 100 individual accounts which are linked to the account group by the same first 5 account number characters.</t>
  </si>
  <si>
    <t>Note: If the accounts in an account group are integrated on an individual account number basis, you need to manually add all the individual accounts to the appropriate sheet in order to ensure that all accounts that are included in the appropriate account group are included on the appropriate sheet. If an individual account in the appropriate account group is omitted and transactions are allocated to it, the balance sheet may not balance.</t>
  </si>
  <si>
    <t>If you stick to the default account numbers and do not add any new accounts, you do not need to be concerned about the integration because all accounts will be included correctly. If you make changes to the account groups or account numbers, it is important to ensure that you have added account groups or accounts where necessary otherwise the template calculations may become inaccurate.</t>
  </si>
  <si>
    <t>Note: Control accounts include all the individual bank accounts, a trade debtors account, trade creditors account and a retained earnings account. These accounts are integral to the proper functioning of the template and should not be amended in any way (aside from adding additional bank accounts if required).</t>
  </si>
  <si>
    <t>Note: If you change the reporting of any account group from group to individual reporting and you do not include all account numbers on the income statement, your balance sheet may not balance. It is therefore imperative that you add all individual accounts to the appropriate account group if it is set up to report on an individual account basis. Refer to the TB sheet and more specifically the Status column where all integration errors will be highlighted in red.</t>
  </si>
  <si>
    <t>We have included the Bank sheet to enable users to analyse bank account movements for any bank account on a daily and monthly basis. The only user input that is required on this sheet is to select the appropriate bank code and monthly period from the drop-down lists at the top of the sheet.</t>
  </si>
  <si>
    <t>Note: Negative values that have been included on the Expenses sheet are deemed to be Income and therefore included in the Income columns. Transactions that have been allocated to the JC general journal bank code are not included in the calculations on this sheet.</t>
  </si>
  <si>
    <t>Note: Once you have set the first financial year that needs to be included in the template, you need to use a trial balance as at the end of the previous financial year (as generated in your previous accounting solution) to enter the balance sheet opening balances in column C on the TB sheet. The total of all the balance sheet opening balances needs to be nil in order for the balance sheet to balance.</t>
  </si>
  <si>
    <t>This template can only be used for full financial years. The template does not make provision for entering opening balances for income statement items and you therefore need to start with data for a full financial year. If you therefore switch from another accounting solution to our template, you need to recapture all your income &amp; expenses as from the first day of the first financial year that is included in the template.</t>
  </si>
  <si>
    <t>You also need to select the appropriate year-end month from an input cell on the Setup sheet. This selection is used to determine the start date and the end date of each financial year and also determines the date on which opening balance sheet balances need to be included on the TB sheet.</t>
  </si>
  <si>
    <t>We have also included a SalesTax sheet which is automatically calculated and requires no user input. This sheet contains a monthly analysis of sales tax amounts and can be used to populate sales tax returns. The calculations can also be displayed for a specific sales tax code by simply selecting the appropriate code from the list box at the top of the sheet. When you then clear the contents of the list box, totals for all sales tax codes are displayed.</t>
  </si>
  <si>
    <t>Note: If an additional bank account has been added to the Setup sheet and not included on the TB or BS sheets, the appropriate row will contain an "add!" status in column D or E. This indicates that the bank account still needs to be added to the appropriate sheet.</t>
  </si>
  <si>
    <t>■ Open the Setup sheet and ensure that all additional bank accounts have been added to the TB and BS sheets. If a bank account has not been added to these sheets, the status in column D or E will show as "add!". Refer to the Setup - Bank Accounts section of the instructions for guidance on how to add bank accounts to the appropriate sheet. Once the bank account has been added, the status will automatically change to "ok".</t>
  </si>
  <si>
    <t>The same account integration principle is applied to most balance sheet account groups where the default integration is to report account group totals (as indicated by the "G" at the end of the account group keys). Although it is not difficult to add new account group keys to the Groups sheet and to then include the new keys in the balance sheet or income statement, there is a risk of balance sheet imbalances occurring if the cash flow statement movements are not included correctly. We therefore recommend completing the following steps if you want to add new account groups to the income statement or balance sheet:</t>
  </si>
  <si>
    <t>As you can see, it becomes relatively complex when needing to add new account groups to the template and it is therefore much easier to change the descriptions of one of the existing line items in order to accommodate new or renamed account groups.</t>
  </si>
  <si>
    <t>The TB sheet has a dual purpose - it contains the chart of accounts which represents a detailed list of the account numbers which are available for the allocation of transactions &amp; the reporting of transaction totals and it contains a detailed trial balance which is automatically calculated based on the transactions that are recorded on the Income and Expenses sheets and allocated to accounts in the Account Number columns.</t>
  </si>
  <si>
    <t>Additional accounts can be created on the TB sheet by inserting a new row, entering the appropriate account number, entering an account description and copying the formulas in columns E to H from one of the existing rows. We also recommend inserting the new row in the appropriate location based on the account number sequence (in an ascending order). The list boxes in the Account Number columns on the Income and Expenses sheets include the accounts in the same sequence as on the TB sheet - if account numbers are therefore not added in the correct order, it may be confusing when selecting accounts.</t>
  </si>
  <si>
    <t>Note: You can also delete any of the default accounts that are included in the chart of accounts on the TB sheet if they are not required for your business. Just be careful when doing so - if you have allocated transactions to an account and you subsequently delete it, it may cause errors and template imbalances!</t>
  </si>
  <si>
    <t>Note: If you need to add a line to any section of the income statement or balance sheet, insert a new row in the appropriate location, copy the formulas in all columns from one of the existing rows and change the key in column A to the appropriate full account number. The calculations will be updated automatically and the error on the TB sheet in the Status column should be resolved.</t>
  </si>
  <si>
    <t>If you are using the template for an existing business, you will need to enter the appropriate balance sheet opening balances as at the end of the year before the first financial year that is included in the template (as specified on the Setup sheet) in column C on the TB sheet. The template can only be used for full financial years and opening balances can therefore only be entered for balance sheet accounts.</t>
  </si>
  <si>
    <t>Example: If the opening B1 bank balance is $5,000 and the first day of the financial year is 1 March, an opening bank balance transaction needs to be recorded on the Income sheet with an inclusive invoice amount of $5,000, a document date &amp; payment date of 28 February, an exempt sales tax code (with a zero sales tax percentage), a bank code of B1 and a payment amount of $5,000. This balance will then be included automatically as the opening B1 bank balance in column C on the TB sheet.</t>
  </si>
  <si>
    <t>The opening trade debtors balance should also be entered on the Income sheet. You can enter the total in one row or enter the outstanding invoices individually (we recommend the latter because all outstanding invoices may not be paid on the same date). The invoice date that is entered in column B should be before the first day of the first financial year that is specified on the Setup sheet and the payment date should be the actual payment date (which will obviously be after the first day of the first financial year that is included in the template because the invoice is outstanding at the beginning of the first financial year).</t>
  </si>
  <si>
    <t>The opening trade creditors balance should be entered on the Expenses sheet (as a positive amount). You can enter the total in one row or enter the outstanding invoices individually (we recommend the latter because all outstanding invoices may not be paid on the same date and will also probably be paid to different suppliers). The document date should be before the first day of the first financial year that is included in the template (as per the Setup sheet) and the payment date should be left blank until the appropriate supplier has been paid.</t>
  </si>
  <si>
    <t>Example: If the opening trade creditor balance at 1 March consists of two invoices, enter the actual invoice dates in the Document Date column (the invoices should be dated on or before 28 February). The payment date column can be left blank until the invoices are paid and the actual date when the invoices are paid then needs to be entered in the Payment Date column. The opening trade creditors balance will then be calculated automatically and included on the TB sheet as a negative amount because trade creditors are liabilities.</t>
  </si>
  <si>
    <t>Note: When recording opening balances for bank accounts, trade debtors and trade creditors on the Income and Expenses sheets, we recommend assigning these entries to a balance sheet account and using a sales tax code which does not result in the calculation of sales tax (code E in the standard template). Any balance sheet account can be used but we recommend using account BS-0799 which is the Cash Transfer Control account.</t>
  </si>
  <si>
    <t>All the column headings on this sheet contain a filter selection arrow - this feature indicates that the Filter feature has been activated for the data on this sheet. This Excel feature is very useful when you need to filter the data that forms part of a table based on the filter criteria that are available after clicking the selection arrow.</t>
  </si>
  <si>
    <t>If an invoice consists of multiple lines, the invoice needs to be entered by repeating the invoice number, invoice date and customer name in all the rows that relate to the invoice. When the invoice is paid in full, the payment dates need to be repeated in all the lines that relate to the particular invoice and the payment amounts can be copied from the inclusive invoice values for each line.</t>
  </si>
  <si>
    <t>If a multiple line invoice is partially paid, the payment date and payment amount of the first payment can be entered in the first line that relates to the particular invoice and the other lines need to be left blank. This will ensure that the outstanding invoice balance contains only the part of the invoice which has not been paid. When the next payment is made, the next payment amount and date needs to be entered and if there is still an unpaid part, it will be included in the outstanding balance calculation.</t>
  </si>
  <si>
    <t>All transfers between bank accounts should be allocated to the Cash Transfer Control account (BS-0799). By using this default account for all bank transfers, you can easily determine when only one of the entries (deposit or withdrawal) has been recorded.</t>
  </si>
  <si>
    <t>The debit part of the journal entry should be recorded as a positive value and the credit part should be recorded as a negative value on the Expenses sheet. Both entries should be allocated to the JC bank code.</t>
  </si>
  <si>
    <t>If you want to change the account integration for any line on the balance sheet from group reporting to individual reporting, you again need to insert the required number of additional rows, copy the formulas from the existing line and replace the account group key in column A with the full account numbers. If you do not add all the accounts that form part of the appropriate account group, your balance sheet may not balance.</t>
  </si>
  <si>
    <t>Note: The template has been designed based on a fixed account number format. All account numbers start with a two character code which identifies whether an account is an income statement account (IS) or a balance sheet account (BS) followed by a hyphen, the two-digit account group (as listed on the Groups sheet) and a two-digit account number. This default account number format should not be deviated from otherwise the template calculations may not be accurate.</t>
  </si>
  <si>
    <t>Note: All the columns on the Expenses sheet have been included in an Excel table. This feature is extremely useful when entering data in a table format because the formulas that are included in calculated columns (the columns with light blue column headings) are automatically copied when new rows are inserted into the table or when data is entered into the first blank row below the table. You can therefore enter a new transaction by simply entering a document date in column A - the table will then automatically extend to include the new transaction.</t>
  </si>
  <si>
    <t>Note: If the debit and credit parts of all journal entries balance to a total of nil, the JC bank account should always have a nil balance. If you therefore notice that the JC bank account has a balance, it means that you have made an error in recording some of your journal entries. You can then filter the Expenses sheet for all transactions with a bank code of JC and filter the document dates for the appropriate month in order to review all the journal entries for the particular month.</t>
  </si>
  <si>
    <t>If a partial payment of an invoice occurs, you should only enter the amount that has actually been paid in the Payment Amount column and the appropriate payment date in the Payment Date column. The unpaid balance will automatically be reflected as the outstanding balance for the appropriate invoice.</t>
  </si>
  <si>
    <t>Excel Skills | Service Based Accounting Template</t>
  </si>
  <si>
    <t>Business Details</t>
  </si>
  <si>
    <t>Business Address</t>
  </si>
  <si>
    <t>Contact Number</t>
  </si>
  <si>
    <t>Fax Number</t>
  </si>
  <si>
    <t>Website</t>
  </si>
  <si>
    <t>Registration Number</t>
  </si>
  <si>
    <t>Sales Tax Number</t>
  </si>
  <si>
    <t>9999 999 9999</t>
  </si>
  <si>
    <t>2011 000000 00</t>
  </si>
  <si>
    <t>E4</t>
  </si>
  <si>
    <t>Customer code is invalid</t>
  </si>
  <si>
    <t>Billing Address</t>
  </si>
  <si>
    <t>Billing Name</t>
  </si>
  <si>
    <t>Customers</t>
  </si>
  <si>
    <t>Invoiced To:</t>
  </si>
  <si>
    <t>Customer Tax No:</t>
  </si>
  <si>
    <t>Total</t>
  </si>
  <si>
    <t>Banking Details:</t>
  </si>
  <si>
    <t>Account Type</t>
  </si>
  <si>
    <t>Current Account</t>
  </si>
  <si>
    <t>Example Bank</t>
  </si>
  <si>
    <t>999-999</t>
  </si>
  <si>
    <t>1111 999 888</t>
  </si>
  <si>
    <t>Banking Details</t>
  </si>
  <si>
    <t>Bank Name</t>
  </si>
  <si>
    <t>Text</t>
  </si>
  <si>
    <t>Please use your customer code as your payment reference.</t>
  </si>
  <si>
    <t>E-mail</t>
  </si>
  <si>
    <t>Customer Code</t>
  </si>
  <si>
    <t>Account Statement</t>
  </si>
  <si>
    <t>Customer Details</t>
  </si>
  <si>
    <t>Statement Date</t>
  </si>
  <si>
    <t>Outstanding Balance:</t>
  </si>
  <si>
    <t>Current</t>
  </si>
  <si>
    <t>30 Days</t>
  </si>
  <si>
    <t>60 Days</t>
  </si>
  <si>
    <t>90 Days</t>
  </si>
  <si>
    <t>120 Days</t>
  </si>
  <si>
    <t>120+ Days</t>
  </si>
  <si>
    <t>Amount</t>
  </si>
  <si>
    <t>Document</t>
  </si>
  <si>
    <t>Balance</t>
  </si>
  <si>
    <t>ST1</t>
  </si>
  <si>
    <t>Income &amp; Other Receipts</t>
  </si>
  <si>
    <t>Our service based accounting template enables users to record income &amp; expenses and automatically produces a trial balance, income statement, cash flow statement and balance sheet. The template also includes an automated invoice, customer statement and customer age analysis. The default accounts can be customized and an unlimited number of additional accounts can be added. It also accommodates sales tax calculations and multiple bank accounts. After completing the initial template setup, the template can be rolled forward or back by simply changing the reporting year in a single input cell.</t>
  </si>
  <si>
    <t>The first step in setting up the template for your business is to enter your business details at the top of the Setup sheet. Your business name is included as a heading on all the other sheets and the other business details are included on the tax invoice &amp; customer statement. You also need to enter the first financial year &amp; the reporting year, select a year-end month and maintain your sales tax &amp; bank codes on the Setup sheet.</t>
  </si>
  <si>
    <t>The information that is entered in the banking details section is included on the tax invoice. If you clear the default data from the input field, no banking details will be included in the section at the bottom of the invoice. If you do enter banking details and you change the description of the input fields, these changes will also be affected on the tax invoice on the Invoice sheet.</t>
  </si>
  <si>
    <t>Note: The last input field provides for any text that you want to display at the bottom of the banking details section on the Invoice sheet.</t>
  </si>
  <si>
    <t>Customer Accounts</t>
  </si>
  <si>
    <t>The Customers sheet can be used to create unique customer codes and enter the billing details of all customers. The customer codes that are created on the Customers sheet are included in a list box in the Customer column on the Income sheet. We therefore recommend using an abbreviated version of the customer name when creating customer codes because you will not need to refer back to the Customers sheet in order to select the appropriate customer code when recording transactions on the Income sheet.</t>
  </si>
  <si>
    <t>The other user input columns on the Customers sheet consist of the billing name, billing address and the customer's sales tax reference number. These details are included on the invoice and customer statement by linking the customer details on the Customers sheet to the customer code which is selected on the Income sheet.</t>
  </si>
  <si>
    <t>Note: You are required to select a customer code when recording all income transactions. If you therefore have a lot of cash customers, it may be pointless to create individual customer codes for all of these customers. We therefore recommend setting up a default customer code that can be used when entering any transaction where a customer code is not required. The customer information that is entered for this code on the Customers sheet will however be included on the tax invoices for the transactions that are allocated to the default customer code. The customer information should therefore be left blank if you don't want to include it on the tax invoice or you can include a general description like "Cash" instead.</t>
  </si>
  <si>
    <t>The Customers sheet also contains a number of calculated columns that contain formulas which are automatically copied when adding new customer codes to the sheet. These columns contain a calculation of the outstanding balances of customers which can be calculated for any user defined date by simply entering the appropriate balance date at the top of the sheet.</t>
  </si>
  <si>
    <t>The sheet also contains an ageing of the outstanding customer balances. The ageing on this sheet is calculated based on calendar months and also based on the balance date that is specified. If no balance date is specified, the current system date is used.</t>
  </si>
  <si>
    <t>Tax Invoice</t>
  </si>
  <si>
    <t>Customer Account Statement</t>
  </si>
  <si>
    <t>The outstanding balance, the balances in the ageing section and the list of outstanding invoices are all automatically calculated based on the invoice details on the Income sheet, the customer code in cell H16 and the statement date in cell H17.</t>
  </si>
  <si>
    <t>If the statement date falls on a month-end date, all the ageing calculations are based on calendar months but if the statement date falls on any other day of the month, the ageing calculations are based on the day component that forms part of the statement date.</t>
  </si>
  <si>
    <t>If the statement date is specified as the 31st of January (a month-end date), the ageing is calculated based on calendar months. For example, all invoices dated between 1 January and 31 January are included in the "Current" ageing group, all invoices dated between 1 December and 31 December are included in the "30 Days" ageing group, all invoices between 1 November and 30 November are included in the "60 Days" ageing group and so forth.</t>
  </si>
  <si>
    <t>Account statements are therefore compiled on an open item basis - this means that only open or outstanding items are included on account statements and not all the movements on the customer account during a specific period (opening balances, invoices and payments that are included separately). We believe that this is the most efficient method of compiling account statements because it negates the need for complicated account reconciliations.</t>
  </si>
  <si>
    <t>Note: Invoices are listed on the account statement in the same order in which the invoices appear on the Income sheet. If you therefore want to change the order in which invoices are listed, you need to sort the data on the Income sheet accordingly.</t>
  </si>
  <si>
    <t>Note: We have included an image placeholder at the top of the Statement sheet which can be deleted and replaced by your business logo artwork.</t>
  </si>
  <si>
    <t>Note: We have included an image placeholder at the top of the Invoice sheet which can be deleted and replaced by your business logo artwork.</t>
  </si>
  <si>
    <t>■ E4 - this error code means that the customer account code that has been selected is invalid. All the customer account codes that have been created on the Customers sheet will be included in the customer code list boxes and the error can therefore be rectified by simply selecting a valid customer account code from the list box. New customer account codes must be created on the Customers sheet before being available for selection.</t>
  </si>
  <si>
    <t>Note: All the columns on the Customers sheet have been included in an Excel table. This feature is extremely useful when entering data in a table format because the formulas that are included in the calculated columns (the columns with light blue column headings) are automatically copied when new rows are inserted into the table or when data is entered into the first blank row below the table. You can therefore add a new customer code by simply entering a new code in column A - the table will then automatically extend to include the new customer code.</t>
  </si>
  <si>
    <t>Note: The Income sheet contains invoices and all other receipt transactions. For some of these transactions there may not be a specific customer and you may therefore want to create a default customer code that can be used to record all transactions where an individual customer code may not be applicable.</t>
  </si>
  <si>
    <t>The banking details that are displayed at the bottom of the invoice are entered on the Setup sheet. If you don't want to include your banking details on your invoices, simply delete this section from the Invoice sheet. You can then also delete the banking details section from the Setup sheet.</t>
  </si>
  <si>
    <t>Example: If the statement date is specified as the 20th of January, all invoices dated between the 21st of December and the 20th of January are included in the "Current" ageing group, all invoices between the 21st of November and the 20th of December are included in the "30 Days" ageing group, all invoices between the 21st of October and the 20th of November are included in the "60 Days" ageing group and so forth.</t>
  </si>
  <si>
    <t>Note: The Statement sheet includes a maximum of 30 invoices but you can add additional invoices to this sheet by simply copying the formulas from the last row that contains data (row 60) and pasting them into the appropriate number of additional rows. We recommend that you select the entire row before copying &amp; pasting the formulas.</t>
  </si>
  <si>
    <r>
      <t>Setup</t>
    </r>
    <r>
      <rPr>
        <sz val="10"/>
        <rFont val="Arial"/>
        <family val="2"/>
      </rPr>
      <t xml:space="preserve"> - enter your business &amp; banking details and customize the sales tax codes and bank codes. The business &amp; banking details are included on the automated invoice and customer statement. The sales tax codes &amp; percentages are used to calculate sales tax on all income &amp; expense transactions and bank codes can be used to allocate transactions to multiple bank accounts. The first financial year, reporting year and year-end input cells determine the monthly periods that are included on the trial balance, income statement, cash flow statement and balance sheet.</t>
    </r>
  </si>
  <si>
    <r>
      <rPr>
        <b/>
        <sz val="10"/>
        <rFont val="Arial"/>
        <family val="2"/>
      </rPr>
      <t>Groups</t>
    </r>
    <r>
      <rPr>
        <sz val="10"/>
        <rFont val="Arial"/>
        <family val="2"/>
      </rPr>
      <t xml:space="preserve"> - this sheet contains the default list of account groups that are used in this template. You can customize the descriptions of the account groups but we do not recommend changing the account group keys. Additional account groups can be added and inserted in the appropriate location on the income statement, cash flow statement and balance sheet.</t>
    </r>
  </si>
  <si>
    <r>
      <rPr>
        <b/>
        <sz val="10"/>
        <rFont val="Arial"/>
        <family val="2"/>
      </rPr>
      <t>TB</t>
    </r>
    <r>
      <rPr>
        <sz val="10"/>
        <rFont val="Arial"/>
        <family val="2"/>
      </rPr>
      <t xml:space="preserve"> - this sheet contains a full list of the accounts that are included in the template and a trial balance which is automatically calculated based on the transactions that are entered on the Income and Expenses sheets. The default accounts list can be customized by editing the existing accounts or by inserting new rows for additional accounts. The period for which the trial balance is calculated is determined by the month-end period that is selected at the top of the sheet in column G.</t>
    </r>
  </si>
  <si>
    <r>
      <rPr>
        <b/>
        <sz val="10"/>
        <rFont val="Arial"/>
        <family val="2"/>
      </rPr>
      <t>Customers</t>
    </r>
    <r>
      <rPr>
        <sz val="10"/>
        <rFont val="Arial"/>
        <family val="2"/>
      </rPr>
      <t xml:space="preserve"> - create unique customer codes for all customers and enter their billing details. The sheet also includes an automated calculation of outstanding balances and an ageing of customer account balances which can be calculated based on any user defined date.</t>
    </r>
  </si>
  <si>
    <r>
      <rPr>
        <b/>
        <sz val="10"/>
        <rFont val="Arial"/>
        <family val="2"/>
      </rPr>
      <t>Invoice</t>
    </r>
    <r>
      <rPr>
        <sz val="10"/>
        <rFont val="Arial"/>
        <family val="2"/>
      </rPr>
      <t xml:space="preserve"> - this sheet contains an automated tax invoice. Simply enter the appropriate invoice number and the rest of the sheet is automatically populated based on the details recorded on the Setup, Income and Customers sheets.</t>
    </r>
  </si>
  <si>
    <r>
      <t>Expenses</t>
    </r>
    <r>
      <rPr>
        <sz val="10"/>
        <rFont val="Arial"/>
        <family val="2"/>
      </rPr>
      <t xml:space="preserve"> - all expense and other payment transactions should be entered on this sheet. The columns with yellow column headings require user input and the columns with light blue column headings contain formulas and are therefore automatically calculated. We also recommend entering all journals on this sheet.</t>
    </r>
  </si>
  <si>
    <r>
      <rPr>
        <b/>
        <sz val="10"/>
        <rFont val="Arial"/>
        <family val="2"/>
      </rPr>
      <t>CFS</t>
    </r>
    <r>
      <rPr>
        <sz val="10"/>
        <rFont val="Arial"/>
        <family val="2"/>
      </rPr>
      <t xml:space="preserve"> - the monthly cash flow statement on this sheet is automatically compiled based on the income statement and balance sheet calculations.</t>
    </r>
  </si>
  <si>
    <r>
      <rPr>
        <b/>
        <sz val="10"/>
        <rFont val="Arial"/>
        <family val="2"/>
      </rPr>
      <t>BS</t>
    </r>
    <r>
      <rPr>
        <sz val="10"/>
        <rFont val="Arial"/>
        <family val="2"/>
      </rPr>
      <t xml:space="preserve"> - the monthly balance sheet on this sheet is automatically compiled based on the transactions that are recorded on the Income and Expenses sheets. All the line items are set to report account group totals but you can include individual accounts by changing the keys in column A.</t>
    </r>
  </si>
  <si>
    <r>
      <rPr>
        <b/>
        <sz val="10"/>
        <rFont val="Arial"/>
        <family val="2"/>
      </rPr>
      <t>Bank</t>
    </r>
    <r>
      <rPr>
        <sz val="10"/>
        <rFont val="Arial"/>
        <family val="2"/>
      </rPr>
      <t xml:space="preserve"> - this sheet contains an analysis of bank account movements on a daily basis (for the selected month) and on a monthly basis for the current financial year. Aside from selecting the bank code and month, no user input is required on this sheet.</t>
    </r>
  </si>
  <si>
    <r>
      <t>Invoice Number</t>
    </r>
    <r>
      <rPr>
        <sz val="10"/>
        <rFont val="Arial"/>
        <family val="2"/>
      </rPr>
      <t xml:space="preserve"> - enter your invoice number or the appropriate transaction reference for cash receipt transactions. This column should always contain a value - if you do not issue document numbers for all your invoices &amp; receipts, any unique transaction reference can be used.</t>
    </r>
  </si>
  <si>
    <r>
      <t>Invoice Date</t>
    </r>
    <r>
      <rPr>
        <sz val="10"/>
        <rFont val="Arial"/>
        <family val="2"/>
      </rPr>
      <t xml:space="preserve"> - enter the date of the tax invoice or the bank statement date for cash receipt transactions. We've added data validation to this column to ensure that only valid dates are entered - you therefore need to ensure that you enter dates in accordance with the regional date settings that are specified in the System Control Panel.</t>
    </r>
  </si>
  <si>
    <r>
      <t>Customer</t>
    </r>
    <r>
      <rPr>
        <sz val="10"/>
        <rFont val="Arial"/>
        <family val="2"/>
      </rPr>
      <t xml:space="preserve"> - select a customer code from the drop-down list in this column. All customer codes that have been added to the Customers sheet will be available for selection. A generic customer code can be added to the Customers sheet and used for all transactions where a customer code is not applicable.</t>
    </r>
  </si>
  <si>
    <r>
      <t>Description</t>
    </r>
    <r>
      <rPr>
        <sz val="10"/>
        <rFont val="Arial"/>
        <family val="2"/>
      </rPr>
      <t xml:space="preserve"> - enter a transaction description in this column.</t>
    </r>
  </si>
  <si>
    <r>
      <t>Tax Inclusive Amount</t>
    </r>
    <r>
      <rPr>
        <sz val="10"/>
        <rFont val="Arial"/>
        <family val="2"/>
      </rPr>
      <t xml:space="preserve"> - enter the transaction amount inclusive of sales tax. Income and receipts should be entered as positive amounts but if you have an expense or payment type transaction that is of an income or receipt nature, the transaction can be entered as a negative value. For example, entering a credit note that relates to an invoice that has been recorded previously. In most instances, expenses should however be recorded on the Expenses sheet.</t>
    </r>
  </si>
  <si>
    <r>
      <rPr>
        <b/>
        <sz val="10"/>
        <rFont val="Arial"/>
        <family val="2"/>
      </rPr>
      <t>Bank Code</t>
    </r>
    <r>
      <rPr>
        <sz val="10"/>
        <rFont val="Arial"/>
        <family val="2"/>
      </rPr>
      <t xml:space="preserve"> - this column contains a drop-down list which includes all the bank codes that have been added to the Setup sheet. Select the bank code of the bank account that will be affected by the particular transaction. Note that it is imperative that a bank code is assigned to each transaction.</t>
    </r>
  </si>
  <si>
    <r>
      <rPr>
        <b/>
        <sz val="10"/>
        <rFont val="Arial"/>
        <family val="2"/>
      </rPr>
      <t>Account Number</t>
    </r>
    <r>
      <rPr>
        <sz val="10"/>
        <rFont val="Arial"/>
        <family val="2"/>
      </rPr>
      <t xml:space="preserve"> - the drop-down list in this column contains all the account codes (and descriptions) that have been created on the TB sheet. You therefore need to create the appropriate account on the TB sheet before transactions can be allocated to the account. An account number should be selected for every transaction otherwise template imbalances may be encountered.</t>
    </r>
  </si>
  <si>
    <r>
      <rPr>
        <b/>
        <sz val="10"/>
        <rFont val="Arial"/>
        <family val="2"/>
      </rPr>
      <t>Payment Amount</t>
    </r>
    <r>
      <rPr>
        <sz val="10"/>
        <rFont val="Arial"/>
        <family val="2"/>
      </rPr>
      <t xml:space="preserve"> - when a customer pays an invoice, the payment amount should be entered into this column.</t>
    </r>
  </si>
  <si>
    <r>
      <t>Payment Date</t>
    </r>
    <r>
      <rPr>
        <sz val="10"/>
        <rFont val="Arial"/>
        <family val="2"/>
      </rPr>
      <t xml:space="preserve"> - enter the actual payment date in this column. The date that should be entered in this column should be the date on which the payment was received from the customer. The payment date and payment amount should be left blank if payment has not been received from the customer - the outstanding amount will then be included in trade debtors. Note that the payment date should always be greater than or equal to the invoice date.</t>
    </r>
  </si>
  <si>
    <r>
      <t xml:space="preserve">Exclusive Amount </t>
    </r>
    <r>
      <rPr>
        <sz val="10"/>
        <rFont val="Arial"/>
        <family val="2"/>
      </rPr>
      <t>- the formula in this column deducts the sales tax amount from the inclusive invoice amount in order to calculate an amount excluding sales tax. For accounting purposes, the exclusive amounts are allocated to the income statement, the sales tax amounts are allocated to the sales tax control account and the inclusive amounts are allocated to trade debtors or bank (depending on whether the amounts have been paid or not).</t>
    </r>
  </si>
  <si>
    <r>
      <t>Inclusive Amount</t>
    </r>
    <r>
      <rPr>
        <sz val="10"/>
        <rFont val="Arial"/>
        <family val="2"/>
      </rPr>
      <t xml:space="preserve"> - this column is based on the inclusive invoice amount which the user enters in column E.</t>
    </r>
  </si>
  <si>
    <r>
      <rPr>
        <b/>
        <sz val="10"/>
        <rFont val="Arial"/>
        <family val="2"/>
      </rPr>
      <t>Unique INV</t>
    </r>
    <r>
      <rPr>
        <sz val="10"/>
        <rFont val="Arial"/>
        <family val="2"/>
      </rPr>
      <t xml:space="preserve"> - the formula in this column is used to determine whether the invoice number is unique. Invoices can be entered in multiple lines and this formula is used to prevent the duplication of the calculation of outstanding invoice balances.</t>
    </r>
  </si>
  <si>
    <r>
      <rPr>
        <b/>
        <sz val="10"/>
        <rFont val="Arial"/>
        <family val="2"/>
      </rPr>
      <t>ST1</t>
    </r>
    <r>
      <rPr>
        <sz val="10"/>
        <rFont val="Arial"/>
        <family val="2"/>
      </rPr>
      <t xml:space="preserve"> - the formula in this column is used to identify the appropriate list of outstanding invoices which needs to be included on the customer statement.</t>
    </r>
  </si>
  <si>
    <r>
      <rPr>
        <b/>
        <sz val="10"/>
        <rFont val="Arial"/>
        <family val="2"/>
      </rPr>
      <t>Error Code</t>
    </r>
    <r>
      <rPr>
        <sz val="10"/>
        <rFont val="Arial"/>
        <family val="2"/>
      </rPr>
      <t xml:space="preserve"> - this column will contain an error code if there is a problem with the input in any of the previous columns. All the error codes that are displayed in this column should therefore be corrected in order to ensure that all the template calculations remain accurate. Refer to the Error Codes section of these instructions for more information about the reasons for an error code and how to resolve it.</t>
    </r>
  </si>
  <si>
    <r>
      <t xml:space="preserve">Supplier </t>
    </r>
    <r>
      <rPr>
        <sz val="10"/>
        <rFont val="Arial"/>
        <family val="2"/>
      </rPr>
      <t>- enter the name of the supplier. If the Auto Complete feature is enabled, you should be able to accept its suggestion of the supplier name after entering only a few characters. Note that it is important to enter supplier names accurately if you want to use the Filter feature to display only the transactions for a specific supplier.</t>
    </r>
  </si>
  <si>
    <r>
      <t xml:space="preserve">Reference </t>
    </r>
    <r>
      <rPr>
        <sz val="10"/>
        <rFont val="Arial"/>
        <family val="2"/>
      </rPr>
      <t>- enter a reference for the transaction in this column. For example, this could be the supplier invoice number or a more general reference like "Debit Order" or "Bank Statement".</t>
    </r>
  </si>
  <si>
    <r>
      <t>Tax Inclusive Amount</t>
    </r>
    <r>
      <rPr>
        <sz val="10"/>
        <rFont val="Arial"/>
        <family val="2"/>
      </rPr>
      <t xml:space="preserve"> - enter the transaction amount inclusive of sales tax. Expenses and payments should be entered as positive amounts but if you have an income or receipt type transaction that is of an expense or payment nature, the transaction can be entered as a negative value. For example, entering a supplier claim that relates to a supplier invoice which has been recorded previously. In most instances, income and receipt transactions should however be recorded on the Income sheet.</t>
    </r>
  </si>
  <si>
    <r>
      <t>Payment Date</t>
    </r>
    <r>
      <rPr>
        <sz val="10"/>
        <rFont val="Arial"/>
        <family val="2"/>
      </rPr>
      <t xml:space="preserve"> - enter the actual payment date in this column. The date that should be entered in this column should be the date on which the payment is made to the supplier. The payment date should be left blank if payment has not been made to the supplier - the outstanding balance will then be included in trade creditors. Note that the payment date should always be greater than or equal to the document date.</t>
    </r>
  </si>
  <si>
    <r>
      <t xml:space="preserve">Exclusive Amount </t>
    </r>
    <r>
      <rPr>
        <sz val="10"/>
        <rFont val="Arial"/>
        <family val="2"/>
      </rPr>
      <t>- the formula in this column deducts the sales tax amount from the tax inclusive amount in order to calculate an amount excluding sales tax. For accounting purposes, the exclusive amounts are allocated to the income statement, the sales tax amounts are allocated to the sales tax control account and the inclusive amounts are allocated to trade creditors or bank (depending on whether the amounts have been paid or not).</t>
    </r>
  </si>
  <si>
    <r>
      <t>Inclusive Amount</t>
    </r>
    <r>
      <rPr>
        <sz val="10"/>
        <rFont val="Arial"/>
        <family val="2"/>
      </rPr>
      <t xml:space="preserve"> - this column is based on the tax inclusive amount which the user enters in column E.</t>
    </r>
  </si>
  <si>
    <r>
      <t>Income</t>
    </r>
    <r>
      <rPr>
        <sz val="10"/>
        <rFont val="Arial"/>
        <family val="2"/>
      </rPr>
      <t xml:space="preserve"> - all income and other receipt transactions should be entered on this sheet. The columns with yellow column headings require user input and the columns with light blue column headings contain formulas and are therefore automatically calculated.</t>
    </r>
  </si>
  <si>
    <r>
      <rPr>
        <b/>
        <sz val="10"/>
        <rFont val="Arial"/>
        <family val="2"/>
      </rPr>
      <t>Statement</t>
    </r>
    <r>
      <rPr>
        <sz val="10"/>
        <rFont val="Arial"/>
        <family val="2"/>
      </rPr>
      <t xml:space="preserve"> - this sheet contains an automated customer statement. Simply select the customer code, enter the statement date and the rest of the sheet is automatically populated based on the details recorded on the Setup, Income and Customers sheets.</t>
    </r>
  </si>
  <si>
    <t>The template also accommodates an unlimited number of bank accounts. You can include as many bank accounts as you want by editing the default list of bank account codes on the Setup sheet and adding additional bank account codes by inserting the required number of additional rows, entering a bank code and entering a description of the account. You also then need to copy the formulas in columns D and E (indicated with light blue cell background) from one of the existing bank account codes.</t>
  </si>
  <si>
    <t>The bank accounts on the TB sheet are part of the control accounts section at the bottom of the sheet. If you need to add additional bank codes, we recommend doing so above the JC bank account (BS-BJC in column A). Adding the additional bank account codes is a simple exercise - insert the required number of additional rows and copy the formulas from one of the existing bank account rows. The template will automatically display your bank codes in the same sequence as included on the Setup sheet.</t>
  </si>
  <si>
    <t>The template provides for including accounts as a group total or as individual accounts on the income statement, cash flow statement and balance sheet. If an account is integrated on an account group basis on the IS, CFS or BS sheets, the key in column A should contain the account group number followed by a "G". If an account is integrated on an individual account basis, the key in column A on the IS, CFS or BS sheets should be the full account number with no additional characters at the end.</t>
  </si>
  <si>
    <t>All the opening balances that need to be entered on the TB sheet contain yellow cell backgrounds. The opening balances for the individual bank balances, the trade debtors line and the trade creditors line in the Control Accounts section contain light blue cell backgrounds. This is because the subsequent movement in these opening balances will have an effect on the cash flow during the first financial period included in the template. These opening balances should therefore be entered on the Income or Expenses sheets and will be calculated automatically on the TB sheet based on the formulas which have been included in column C.</t>
  </si>
  <si>
    <t>Note: The total of all opening balances in column C on the TB sheet should still be nil and the formulas in the cells with light blue column headings in the control accounts section should not be amended or replaced by values otherwise the template calculations will be inaccurate. If the total in column C is not nil, it is not as a result of any formula but as a result of opening balances not being entered correctly. DO NOT change any of the formulas in the cells with light blue cell backgrounds!</t>
  </si>
  <si>
    <t>If a company's year-end is February and the opening trade debtor balance at 28 February of the year before the first financial year which is included in the template consists of two invoices, enter the actual invoice dates in the Invoice Date column (invoices should be dated on or before 28 February). The payment date can be left blank until the invoices are paid and the actual date when the payment is received should be entered in the Payment Date column with the actual payment amount in the Payment Amount column. The opening trade debtor balance will then automatically be calculated and included on the TB sheet.</t>
  </si>
  <si>
    <t>The income statement includes 12 monthly periods, an annual total and a column for comparison to a prior year. The reporting periods are based on the reporting year specified on the Setup sheet. If you want to amend the 12 month reporting period, you only need to change the reporting year on this sheet for the reporting period and all calculations on the IS sheet to be updated.</t>
  </si>
  <si>
    <t>Note: If you are not going to use any of the default account groups included on the income statement, we suggest hiding the rows instead of deleting them. If you do decide to delete the rows containing the affected account groups, you may have to fix some of the total or profit calculations. After deleting the account groups, you should also delete the individual accounts on the TB sheet that are linked to the appropriate account groups so that no transactions can be allocated to these account groups.</t>
  </si>
  <si>
    <t>Note: Only the balance sheet account items with green account keys can be changed to individual account reporting. The items with orange keys are control accounts which have unique formulas which cannot be used for any of the other line items on the balance sheet.</t>
  </si>
  <si>
    <t>■ Review the Status column on the TB sheet and ensure that there are no items highlighted in red. If an item is highlighted in red and contains an error message, it indicates that the account group has been set to report on an individual account basis and that the highlighted account has not been added to the income statement or balance sheet. If an item is highlighted in red and contains a double error, it means that the account group has been integrated on the individual account number basis but that the group integration (ending in a "G") is also still active on the income statement or balance sheet. The row with the group integration in the Key column on the income statement or balance sheet therefore needs to be deleted.</t>
  </si>
  <si>
    <t>Invoice No</t>
  </si>
  <si>
    <t>Sales Tax 1 Amount</t>
  </si>
  <si>
    <t>Sales Tax 2 Amount</t>
  </si>
  <si>
    <t>Tax 1 Code</t>
  </si>
  <si>
    <t>Tax 2 Code</t>
  </si>
  <si>
    <t>BS-1710</t>
  </si>
  <si>
    <t>Tax Type</t>
  </si>
  <si>
    <t>Tax Code 1</t>
  </si>
  <si>
    <t>Tax Code 2</t>
  </si>
  <si>
    <r>
      <rPr>
        <b/>
        <sz val="10"/>
        <rFont val="Arial"/>
        <family val="2"/>
      </rPr>
      <t>IS</t>
    </r>
    <r>
      <rPr>
        <sz val="10"/>
        <rFont val="Arial"/>
        <family val="2"/>
      </rPr>
      <t xml:space="preserve"> - the monthly income statement on this sheet is automatically compiled based on the transactions that are recorded on the Income and Expenses sheets. The 12 monthly periods that are included in the report are determined based on the reporting year specified on the Setup sheet.</t>
    </r>
  </si>
  <si>
    <r>
      <rPr>
        <b/>
        <sz val="10"/>
        <rFont val="Arial"/>
        <family val="2"/>
      </rPr>
      <t>SalesTax</t>
    </r>
    <r>
      <rPr>
        <sz val="10"/>
        <rFont val="Arial"/>
        <family val="2"/>
      </rPr>
      <t xml:space="preserve"> - this sheet contains a monthly sales tax analysis which can be used for sales tax returns. All the calculations are automated. You can select the tax type and any of the individual sales tax codes at the top of the sheet to view the output and input values for any tax type or tax code. There are two tax types for national or federal sales tax and state sales tax.</t>
    </r>
  </si>
  <si>
    <t>The first financial year that is entered on the Setup sheet is very important because it determines the first period that will be included in the template calculations. The year specified in this input cell also determines the effective date for which opening balance sheet balances should be entered in column C on the TB sheet.</t>
  </si>
  <si>
    <r>
      <rPr>
        <b/>
        <sz val="10"/>
        <rFont val="Arial"/>
        <family val="2"/>
      </rPr>
      <t>Tax 1 Code</t>
    </r>
    <r>
      <rPr>
        <sz val="10"/>
        <rFont val="Arial"/>
        <family val="2"/>
      </rPr>
      <t xml:space="preserve"> - this column contains a drop-down list which enables you to select one of the tax codes on to the Setup sheet and should be used for national or federal sales tax. The sales tax percentage applied to the transaction is determined based on the selected sales tax code. If your business is not registered for sales tax purposes, all transactions should be recorded by using a sales tax code with a zero percentage. If no sales tax code is selected, no sales tax will be calculated.</t>
    </r>
  </si>
  <si>
    <r>
      <rPr>
        <b/>
        <sz val="10"/>
        <rFont val="Arial"/>
        <family val="2"/>
      </rPr>
      <t>Tax 2 Code</t>
    </r>
    <r>
      <rPr>
        <sz val="10"/>
        <rFont val="Arial"/>
        <family val="2"/>
      </rPr>
      <t xml:space="preserve"> - this column contains a drop-down list which enables you to select one of the tax codes on to the Setup sheet and should be used for state sales tax. The sales tax percentage applied to the transaction is determined based on the selected sales tax code. If your business is not registered for sales tax purposes, all transactions should be recorded by using a sales tax code with a zero percentage. If no sales tax code is selected, no sales tax will be calculated.</t>
    </r>
  </si>
  <si>
    <r>
      <rPr>
        <b/>
        <sz val="10"/>
        <rFont val="Arial"/>
        <family val="2"/>
      </rPr>
      <t>Sales Tax 1 Amount</t>
    </r>
    <r>
      <rPr>
        <sz val="10"/>
        <rFont val="Arial"/>
        <family val="2"/>
      </rPr>
      <t xml:space="preserve"> - this column contains a formula which calculates the national or federal sales tax amount based on the tax 1 code selected in column F. Sales tax will only be calculated if a sales tax code has been selected in column F. The calculation is based on the sales tax percentages specified on the Setup sheet.</t>
    </r>
  </si>
  <si>
    <r>
      <rPr>
        <b/>
        <sz val="10"/>
        <rFont val="Arial"/>
        <family val="2"/>
      </rPr>
      <t>Sales Tax 2 Amount</t>
    </r>
    <r>
      <rPr>
        <sz val="10"/>
        <rFont val="Arial"/>
        <family val="2"/>
      </rPr>
      <t xml:space="preserve"> - this column contains a formula which calculates the state sales tax amount based on the tax 2 code selected in column G. Sales tax will only be calculated if a sales tax code has been selected in column G. The calculation is based on the sales tax percentages specified on the Setup sheet.</t>
    </r>
  </si>
  <si>
    <r>
      <rPr>
        <b/>
        <sz val="10"/>
        <rFont val="Arial"/>
        <family val="2"/>
      </rPr>
      <t>Outstanding Balance</t>
    </r>
    <r>
      <rPr>
        <sz val="10"/>
        <rFont val="Arial"/>
        <family val="2"/>
      </rPr>
      <t xml:space="preserve"> - if an invoice has not been paid in full, the outstanding balance will be reflected in this column. The outstanding balance is determined based on the balance date that is entered in cell L2 at the top of the sheet. If the balance date contains no value, the current system date will be used to determine which invoices are currently outstanding. You can therefore use the balance date input cell to calculate the trade debtors balance as at any user defined date.</t>
    </r>
  </si>
  <si>
    <t>When the remaining outstanding part of the invoice is subsequently paid, there may not be space to enter the next payment date and amount if the invoice was included in a single line. You therefore need to insert a new row below the original invoice row, copy all the data from column A to I from the original invoice line, replace the value in the Tax Inclusive Amount column with a zero value and enter the new payment amount &amp; date into the row that has been added. These steps need to be repeated if more than two payments are made for any invoice and there aren't sufficient lines to record payment dates &amp; amounts.</t>
  </si>
  <si>
    <t>If you want to view the list of invoices which make up any of the monthly trade debtor balances on the balance sheet, enter the month-end date as the balance date in cell L2 and then use the filter arrow next to the column heading in the outstanding balance column to deselect all zero values. All the invoices with balances at the appropriate month-end date will then be displayed.</t>
  </si>
  <si>
    <t>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(column G) and Sales Tax 2 Amount (column O). All the appropriate sales tax calculations will then only be based on the one sales tax type.</t>
  </si>
  <si>
    <t>Note: You cannot delete both sales tax types. If you do not require any sales tax calculations, you can leave the sales tax 1 codes in column F blank and delete the sales tax 2 columns indicated above. No sales tax amounts will then be calculated.</t>
  </si>
  <si>
    <t>An automated tax invoice has been included on the Invoice sheet. You can create, view or print any tax invoice by simply copying or entering the appropriate invoice number into cell D16 on the Invoice sheet. All the information which is included on the tax invoice should be entered on the Setup, Customers and Income sheets and the tax invoice is automatically updated based on the invoice number specified.</t>
  </si>
  <si>
    <t>The invoice heading and business details (business name, business address, contact details, tax reference number and business registration number) are entered on the Setup sheet. The billing name, billing address and customer sales tax number are populated from the Customers sheet based on the customer code entered on the Income sheet for the specified invoice.</t>
  </si>
  <si>
    <t>The invoice date, invoice description and invoice amounts are populated based on the data entered on the Income sheet for the specified invoice number. If you need to include multiple items on the same invoice, simply enter the same invoice number in multiple rows on the Income sheet. All the rows on the Income sheet up to a maximum of 20 rows per invoice will automatically be added to the Invoice sheet.</t>
  </si>
  <si>
    <t>An automated account statement has been included on the Statement sheet. You can create, view, print or reprint any account statement by simply specifying the appropriate customer code and statement date in cells H16 and H17 respectively. All the other information that is included on the account statement is automatically compiled based on the data entered on the Setup, Customers and Income sheets.</t>
  </si>
  <si>
    <t>The business details (business name, registration number, business address, contact details and tax reference number) are entered on the Setup sheet. The customer billing name and billing address are populated based on the information entered on the Customers sheet for the customer code selected from the list box in cell H16.</t>
  </si>
  <si>
    <t>It is also important to note that only the invoices which are outstanding on the statement date are included on the customer account statement. Outstanding invoices are invoices dated before the statement date with payment dates after the statement date, invoices with blank payment dates which indicate that the invoices have not yet been paid and invoices which have been partially paid.</t>
  </si>
  <si>
    <r>
      <t>Document Date</t>
    </r>
    <r>
      <rPr>
        <sz val="10"/>
        <rFont val="Arial"/>
        <family val="2"/>
      </rPr>
      <t xml:space="preserve"> - enter the supplier invoice date, date of other supporting document or the bank statement date. We've added data validation to this column to ensure that only valid dates are entered.</t>
    </r>
  </si>
  <si>
    <r>
      <rPr>
        <b/>
        <sz val="10"/>
        <rFont val="Arial"/>
        <family val="2"/>
      </rPr>
      <t>Tax 1 Code</t>
    </r>
    <r>
      <rPr>
        <sz val="10"/>
        <rFont val="Arial"/>
        <family val="2"/>
      </rPr>
      <t xml:space="preserve"> - this column contains a drop-down list which enables you to select one of the tax codes added to the Setup sheet and relates to national or federal sales tax. The sales tax percentage which is applied to the transaction is determined based on the sales tax code selected. If your business is not registered for sales tax purposes, all transactions should be recorded by using a sales tax code which has a zero percentage on the Setup sheet. If no sales tax code is selected, no sales tax will be calculated.</t>
    </r>
  </si>
  <si>
    <r>
      <rPr>
        <b/>
        <sz val="10"/>
        <rFont val="Arial"/>
        <family val="2"/>
      </rPr>
      <t>Tax 2 Code</t>
    </r>
    <r>
      <rPr>
        <sz val="10"/>
        <rFont val="Arial"/>
        <family val="2"/>
      </rPr>
      <t xml:space="preserve"> - this column contains a drop-down list which enables you to select one of the tax codes added to the Setup sheet and relates to state sales tax. The sales tax percentage which is applied to the transaction is determined based on the sales tax code selected. If your business is not registered for sales tax purposes, all transactions should be recorded by using a sales tax code which has a zero percentage on the Setup sheet. If no sales tax code is selected, no sales tax will be calculated.</t>
    </r>
  </si>
  <si>
    <r>
      <rPr>
        <b/>
        <sz val="10"/>
        <rFont val="Arial"/>
        <family val="2"/>
      </rPr>
      <t>Outstanding Balance</t>
    </r>
    <r>
      <rPr>
        <sz val="10"/>
        <rFont val="Arial"/>
        <family val="2"/>
      </rPr>
      <t xml:space="preserve"> - if an expense has not been paid in full, the outstanding balance will be reflected in this column. The outstanding balance is determined based on the balance date that is entered in cell K2 at the top of the sheet. If the balance date contains no value, the current system date will be used to determine which invoices are currently outstanding. You can therefore use the balance date input cell to calculate the trade creditors balance as at any user defined date.</t>
    </r>
  </si>
  <si>
    <r>
      <rPr>
        <b/>
        <sz val="10"/>
        <rFont val="Arial"/>
        <family val="2"/>
      </rPr>
      <t>Sales Tax 1 Amount</t>
    </r>
    <r>
      <rPr>
        <sz val="10"/>
        <rFont val="Arial"/>
        <family val="2"/>
      </rPr>
      <t xml:space="preserve"> - this column contains a formula which calculates the national or federal sales tax amounts based on the tax codes selected in column F. Sales tax will only be calculated if a sales tax code has been selected in column F. The calculation is based on the sales tax percentages specified on the Setup sheet.</t>
    </r>
  </si>
  <si>
    <r>
      <rPr>
        <b/>
        <sz val="10"/>
        <rFont val="Arial"/>
        <family val="2"/>
      </rPr>
      <t>Sales Tax 2 Amount</t>
    </r>
    <r>
      <rPr>
        <sz val="10"/>
        <rFont val="Arial"/>
        <family val="2"/>
      </rPr>
      <t xml:space="preserve"> - this column contains a formula which calculates the state sales tax amounts based on the tax codes selected in column G. Sales tax will only be calculated if a sales tax code has been selected in column G. The calculation is based on the sales tax percentages specified on the Setup sheet.</t>
    </r>
  </si>
  <si>
    <t>All the transactions entered on the Expenses sheet are automatically updated to the other sheets in this template. It is therefore imperative that all transactions are entered according to the guidance outlined in this section of the instructions otherwise it could result in imbalances in the template.</t>
  </si>
  <si>
    <t>If you want to view the list of expenses which make up any of the monthly trade creditor balances on the balance sheet, simply enter the appropriate month-end date as the balance date in cell K2 and then use the filter arrow next to the column heading in the outstanding balance column to deselect all zero values. All the expenses with balances at the appropriate month-end date will then be displayed.</t>
  </si>
  <si>
    <t>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(column G) and Sales Tax 2 Amount (column N). All the appropriate sales tax calculations will then only be based on the one sales tax type.</t>
  </si>
  <si>
    <t>All the transactions recorded on the Income and Expenses sheets are automatically updated to the monthly income statement which is included on the IS sheet. All of these income statement accounts are reflected exclusive of any sales tax that may be applicable to the source transactions.</t>
  </si>
  <si>
    <t>All the transactions recorded on the Income and Expenses sheets are also automatically updated to the monthly cash flow statement which is included on the CFS sheet. No user input is required on this sheet.</t>
  </si>
  <si>
    <t>All the transactions recorded on the Income and Expenses sheets are also automatically updated to the monthly balance sheet which is included on the BS sheet. No user input is required on this sheet.</t>
  </si>
  <si>
    <t>We have also included an additional sheet which enables users to analyse sales tax movements on a monthly basis. The SalesTax sheet breaks the movement in the sales tax control accounts (BS-1700 and BS-1710) down into individual components which makes it easier to calculate sales tax return and paid amounts. If your business is not subject to sales tax, this sheet can be deleted.</t>
  </si>
  <si>
    <t>The main components of the sales tax control accounts are output tax, input tax and payments. The output tax totals are calculated based on the Sales Tax Amount columns on the Income sheet, the input tax totals are calculated based on the Sales Tax Amount columns on the Expenses sheet and the Payment column includes all transactions on the Income and Expenses sheets which have been allocated to account BS-1700 or BS-1710.</t>
  </si>
  <si>
    <t>Note: All sales tax payments should be recorded on the Expenses sheet and allocated to the appropriate sales tax control account while all sales tax refunds should be recorded on the Income sheet and allocated to the sales tax control accounts (BS-1700 for national or federal sales tax or BS-1710 for state sales tax).</t>
  </si>
  <si>
    <t>Note: You can select the tax type from the list box in cell D2 - options include national / federal sales tax, state sales tax or both. If cell D2 is empty, the both option is assumed and the calculations are reflected for both sales taxes and therefore both sales tax control accounts.</t>
  </si>
  <si>
    <t>Note: You can also select individual sales tax codes from the list boxes in cell E2 and F2 at the top of the sheet to display the calculations based on any of the tax codes which have been included on the Setup sheet. The content of these list box can then simply be cleared to display the values for all sales tax codes.</t>
  </si>
  <si>
    <t>Note: The template provides for two sales tax types namely national or federal sales tax and state sales tax. If you only require one sales tax type and you would like to delete the second sales tax type, you will be able to do so without affecting the template formulas by simply deleting the columns for Tax 2 Code and Sales Tax 2 Amount on the Income and Expenses sheets. All the appropriate sales tax calculations will then only be based on the one sales tax type.</t>
  </si>
  <si>
    <t>Note: You cannot delete both sales tax types. If you do not require any sales tax calculations, you can leave the sales tax 1 codes blank and delete the sales tax 2 columns as indicated above. No sales tax amounts will then be calculated.</t>
  </si>
  <si>
    <t>Note: No new columns should be added between the Inclusive Amount and Exclusive Amount columns otherwise it will influence some of the sales tax calculations in this template. Also, if you delete the columns for the second sales tax type, the Sales Tax 1 Amount column may display a validation warning but this can safely be ignored as it has no effect on the template calculations. If you do not want to see these validation warnings, just keep both sales tax types and just don't select any tax codes in the second sales tax column.</t>
  </si>
  <si>
    <t>The sales tax codes included in the list on the Setup sheet are automatically included in the drop-down lists in the Sales Tax Code columns on the Income and Expenses sheets and the relevant percentages are automatically used to calculate the sales tax amounts on the same sheets. The template provides for two default sales tax types - national or federal sales tax and state sales tax and each sales tax type therefore has its own code selection and amount columns.</t>
  </si>
  <si>
    <t>All the sales tax codes are available in both sales tax columns but you can use different sales tax codes and therefore different percentages for national or federal sales tax and state sales tax by simply selecting the relevant codes in the appropriate column which automatically results in the appropriate sales tax percentage being applied to the sales tax calculations. If the sales tax percentages change, you can simply create a new sales tax code for the new percentage and use it from the effective date for the new sales tax percentage.</t>
  </si>
  <si>
    <t>If you do not need sales tax to be calculated, you can simply leave the sales tax code columns blank or select any code with a zero percentage on the Setup sheet which will result in no sales tax being calculated.</t>
  </si>
  <si>
    <t>If you do not need both sales tax columns, we recommend selecting the appropriate sales tax codes in the first column and simply leaving the second sales tax code column blank or using a sales tax code with a zero percentage which would result in no sales tax being calculated in the second sales tax amount column. You can delete the second sales tax code and amount columns without affecting the sales tax calculations in the first sales tax code and amount columns but it may result in a data validation warning being displayed in the first sales tax amount column. These warnings just refer to the missing parts for the second sales tax calculations in the formulas and can safely be ignored.</t>
  </si>
  <si>
    <t>www.nasia.co.tz</t>
  </si>
  <si>
    <t>nasia@nasia.co.tz</t>
  </si>
  <si>
    <t>+255 624 059 601</t>
  </si>
  <si>
    <t>+255 713 025 625</t>
  </si>
  <si>
    <t>Victoria Noble Centre, 4th Floor, P O Box 34595, Dar es Salaam</t>
  </si>
  <si>
    <t>Value Added Tax</t>
  </si>
  <si>
    <t>VAT</t>
  </si>
  <si>
    <t>WHT</t>
  </si>
  <si>
    <t>Withholding Tax</t>
  </si>
  <si>
    <t>Nasia Consult Co. Limited</t>
  </si>
  <si>
    <t>HQ</t>
  </si>
  <si>
    <t>SONGEA</t>
  </si>
  <si>
    <t>IRINGA AKIBA HOUSE</t>
  </si>
  <si>
    <t>MASAKI</t>
  </si>
  <si>
    <t>KIJITONYAMA</t>
  </si>
  <si>
    <t>KALOLENI</t>
  </si>
  <si>
    <t>OSHA DODOMA</t>
  </si>
  <si>
    <t>MIKOCHENI</t>
  </si>
  <si>
    <t>JACARANDA</t>
  </si>
  <si>
    <t>GANGILONGA</t>
  </si>
  <si>
    <t>PAWAGA ROAD FLAT</t>
  </si>
  <si>
    <t>SONGWE</t>
  </si>
  <si>
    <t>MBEYA</t>
  </si>
  <si>
    <t>NJOMBE</t>
  </si>
  <si>
    <t>QUALITY PLAZA</t>
  </si>
  <si>
    <t>B4</t>
  </si>
  <si>
    <t>B5</t>
  </si>
  <si>
    <t>B6</t>
  </si>
  <si>
    <t>B7</t>
  </si>
  <si>
    <t>B8</t>
  </si>
  <si>
    <t>B9</t>
  </si>
  <si>
    <t>B10</t>
  </si>
  <si>
    <t>B11</t>
  </si>
  <si>
    <t>B12</t>
  </si>
  <si>
    <t>B13</t>
  </si>
  <si>
    <t>B14</t>
  </si>
  <si>
    <t>B15</t>
  </si>
  <si>
    <t>TIB BANK LTD</t>
  </si>
  <si>
    <t>SWISS CONTACT</t>
  </si>
  <si>
    <t>TIB</t>
  </si>
  <si>
    <t>SWISS</t>
  </si>
  <si>
    <t>INV-001</t>
  </si>
  <si>
    <t>Service Charge</t>
  </si>
  <si>
    <t>Valuation</t>
  </si>
  <si>
    <t>Management Fees</t>
  </si>
  <si>
    <t>National/Federal</t>
  </si>
  <si>
    <t>Sales Tax 1 - Value Added Tax</t>
  </si>
  <si>
    <t>Sales Tax 2 - Withholding Tax</t>
  </si>
  <si>
    <t>CRDB</t>
  </si>
  <si>
    <t>CRDB BANK PLC</t>
  </si>
  <si>
    <t>IM</t>
  </si>
  <si>
    <t>I&amp;M BANK PLC</t>
  </si>
  <si>
    <t>HCC</t>
  </si>
  <si>
    <t>HACOCA</t>
  </si>
  <si>
    <t>PCL</t>
  </si>
  <si>
    <t>PLATINUM CREDIT LTD</t>
  </si>
  <si>
    <t>KMK</t>
  </si>
  <si>
    <t>KAMAKA COMPANY LTD</t>
  </si>
  <si>
    <t>PSSF</t>
  </si>
  <si>
    <t>TUNAL</t>
  </si>
  <si>
    <t>TUNAKOPESHA LIMITED</t>
  </si>
  <si>
    <t>NSSF</t>
  </si>
  <si>
    <t>TPB</t>
  </si>
  <si>
    <t>TANZANIA POSTAL BANK</t>
  </si>
  <si>
    <t>SHMNG</t>
  </si>
  <si>
    <t>SHAMBANI GRADUATES</t>
  </si>
  <si>
    <t>MC</t>
  </si>
  <si>
    <t>MERCY CORPS</t>
  </si>
  <si>
    <t>LATRA</t>
  </si>
  <si>
    <t>JI</t>
  </si>
  <si>
    <t>JUBILEE INSURANCE</t>
  </si>
  <si>
    <t>UDSM</t>
  </si>
  <si>
    <t>UNIVERSITY OF DAR ES SALAAM</t>
  </si>
  <si>
    <t>TAHEA</t>
  </si>
  <si>
    <t>OLA</t>
  </si>
  <si>
    <t>OASIS LAW ATTORNEYS</t>
  </si>
  <si>
    <t>JSS</t>
  </si>
  <si>
    <t>JULIUS SAMWEL SOSOVELLE</t>
  </si>
  <si>
    <t>TGL</t>
  </si>
  <si>
    <t>THE GUARDIAN LIMITED</t>
  </si>
  <si>
    <t>BST</t>
  </si>
  <si>
    <t>BRIANNA STAR TECHNOLOGY LTD</t>
  </si>
  <si>
    <t>CEC</t>
  </si>
  <si>
    <t>CLEMSTON ENTERPRISES &amp; CONSTRUCTION CO LTD</t>
  </si>
  <si>
    <t>AK</t>
  </si>
  <si>
    <t>AGNESS A KESSY</t>
  </si>
  <si>
    <t>AF</t>
  </si>
  <si>
    <t>ACACIA FAMILY AND CO LTD</t>
  </si>
  <si>
    <t>MPM</t>
  </si>
  <si>
    <t>MAGDALENA PHILIPO MAYENGO</t>
  </si>
  <si>
    <t>Cleaning Services</t>
  </si>
  <si>
    <t>Consultation Fee</t>
  </si>
  <si>
    <t>IS-0120</t>
  </si>
  <si>
    <t>IS-0125</t>
  </si>
  <si>
    <t>NCL/2023-00056</t>
  </si>
  <si>
    <t>B16</t>
  </si>
  <si>
    <t>NCL/23/00377</t>
  </si>
  <si>
    <t>RC1266</t>
  </si>
  <si>
    <t>Service charge quality plaza</t>
  </si>
  <si>
    <t>RC1267</t>
  </si>
  <si>
    <t>RC1268</t>
  </si>
  <si>
    <t>EXIM BANK</t>
  </si>
  <si>
    <t>NCL/2024-00002</t>
  </si>
  <si>
    <t>Cleaning service for dec</t>
  </si>
  <si>
    <t>NCL/2023-00012</t>
  </si>
  <si>
    <t>NCL/2023-00376</t>
  </si>
  <si>
    <t>RC1272</t>
  </si>
  <si>
    <t>cleaning service for october and november</t>
  </si>
  <si>
    <t>OB</t>
  </si>
  <si>
    <t>Opening Balance</t>
  </si>
  <si>
    <t>NCL/2024-00073</t>
  </si>
  <si>
    <t>Kijitonyama management fee october to december 2023</t>
  </si>
  <si>
    <t>NCL/2024-00075</t>
  </si>
  <si>
    <t>Management fee masaki &amp; mikocheni oct-dec</t>
  </si>
  <si>
    <t>RC1275</t>
  </si>
  <si>
    <t>Service charge songea</t>
  </si>
  <si>
    <t>NCL/2023-00371</t>
  </si>
  <si>
    <t>IR-00414</t>
  </si>
  <si>
    <t>Service charge iringa</t>
  </si>
  <si>
    <t>RC1278</t>
  </si>
  <si>
    <t>NCL/2024-00080</t>
  </si>
  <si>
    <t>Management fee Arusha</t>
  </si>
  <si>
    <t>NCL/2024-00081</t>
  </si>
  <si>
    <t>Cleaning service</t>
  </si>
  <si>
    <t>RC1285</t>
  </si>
  <si>
    <t>RC1283</t>
  </si>
  <si>
    <t>RC1284</t>
  </si>
  <si>
    <t>RC1287</t>
  </si>
  <si>
    <t>RC1288</t>
  </si>
  <si>
    <t>RC1289</t>
  </si>
  <si>
    <t>RC1290</t>
  </si>
  <si>
    <t>RC1291</t>
  </si>
  <si>
    <t>RC1292</t>
  </si>
  <si>
    <t>RC1286</t>
  </si>
  <si>
    <t>RC1293</t>
  </si>
  <si>
    <t>NCL/2024-00074</t>
  </si>
  <si>
    <t>Management fee nssf from oct to dec 2023</t>
  </si>
  <si>
    <t>NCCL</t>
  </si>
  <si>
    <t>Nasia Consult Company LTD</t>
  </si>
  <si>
    <t>Management fee KIJITONYAMA 2023 oct- dec</t>
  </si>
  <si>
    <t xml:space="preserve">Management fee 2023 Masaki-mikocheni oct- dec </t>
  </si>
  <si>
    <t>Management fee 2023 apr- june quliy plaza</t>
  </si>
  <si>
    <t>NCL/2024-00328</t>
  </si>
  <si>
    <t>Management fee 2023 july- sept kijitonyama</t>
  </si>
  <si>
    <t>Paulina Songelaeli</t>
  </si>
  <si>
    <t>WCF</t>
  </si>
  <si>
    <t>Zakaria Kiduko</t>
  </si>
  <si>
    <t>Esther Bachwa</t>
  </si>
  <si>
    <t>CRJE Investment</t>
  </si>
  <si>
    <t>MAAS Computer  and Network LTD</t>
  </si>
  <si>
    <t>Vodacom Tanzania</t>
  </si>
  <si>
    <t>EMAIL CLOUD ACCOUNT</t>
  </si>
  <si>
    <t>Bank charges</t>
  </si>
  <si>
    <t>VAT commision and fee</t>
  </si>
  <si>
    <t>RC 1294</t>
  </si>
  <si>
    <t>CRDB Bank</t>
  </si>
  <si>
    <t>Monthly Maintainance Fee</t>
  </si>
  <si>
    <t>VAT on Commission &amp; Fees</t>
  </si>
  <si>
    <t>Office Internet</t>
  </si>
  <si>
    <t>Petty Cash Reimbursement</t>
  </si>
  <si>
    <t>NSSF for Payment Jan</t>
  </si>
  <si>
    <t>WCF Payment Jan</t>
  </si>
  <si>
    <t>Electricity Bill</t>
  </si>
  <si>
    <t>KIUMA</t>
  </si>
  <si>
    <t>Kanisa la Upendo wa Kristo Masihi</t>
  </si>
  <si>
    <t>provision of valuation service</t>
  </si>
  <si>
    <t>PAYE payment</t>
  </si>
  <si>
    <t>SDL payment</t>
  </si>
  <si>
    <t>VAT payment</t>
  </si>
  <si>
    <t>Electrical maintenance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</si>
</sst>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 #,##0_-;_-* &quot;-&quot;_-;_-@_-"/>
    <numFmt numFmtId="164" formatCode="_(* #,##0.00_);_(* \(#,##0.00\);_(* &quot;-&quot;??_);_(@_)"/>
    <numFmt numFmtId="165" formatCode="&quot;R&quot;\ #,##0.00;[Red]&quot;R&quot;\ \-#,##0.00"/>
    <numFmt numFmtId="166" formatCode="mmm\-yyyy"/>
    <numFmt numFmtId="167" formatCode="0.0%"/>
    <numFmt numFmtId="168" formatCode="0.00000000000"/>
    <numFmt numFmtId="169" formatCode="0.00000000000000000"/>
    <numFmt numFmtId="170" formatCode="dd\ mmm\ yyyy"/>
    <numFmt numFmtId="171" formatCode="mmmm"/>
    <numFmt numFmtId="172" formatCode="mmm/yyyy"/>
    <numFmt numFmtId="173" formatCode="dd\ mmmm\ yyyy"/>
    <numFmt numFmtId="174" formatCode="yyyy/mm/dd"/>
    <numFmt numFmtId="175" formatCode="_-* #,##0.00_-;\-* #,##0.00_-;_-* &quot;-&quot;_-;_-@_-"/>
  </numFmts>
  <fonts count="40"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0"/>
      <color indexed="8"/>
      <name val="Century Gothic"/>
      <family val="2"/>
      <scheme val="minor"/>
    </font>
    <font>
      <b/>
      <sz val="12"/>
      <name val="Century Gothic"/>
      <family val="2"/>
      <scheme val="minor"/>
    </font>
    <font>
      <b/>
      <u/>
      <sz val="10"/>
      <color indexed="12"/>
      <name val="Century Gothic"/>
      <family val="2"/>
      <scheme val="minor"/>
    </font>
    <font>
      <sz val="10"/>
      <color theme="0"/>
      <name val="Century Gothic"/>
      <family val="2"/>
      <scheme val="minor"/>
    </font>
    <font>
      <b/>
      <i/>
      <sz val="10"/>
      <name val="Century Gothic"/>
      <family val="2"/>
      <scheme val="minor"/>
    </font>
    <font>
      <b/>
      <u/>
      <sz val="10"/>
      <name val="Century Gothic"/>
      <family val="2"/>
      <scheme val="minor"/>
    </font>
    <font>
      <sz val="10"/>
      <color indexed="8"/>
      <name val="Century Gothic"/>
      <family val="2"/>
      <scheme val="minor"/>
    </font>
    <font>
      <i/>
      <sz val="10"/>
      <color rgb="FFFF6600"/>
      <name val="Century Gothic"/>
      <family val="2"/>
      <scheme val="minor"/>
    </font>
    <font>
      <sz val="10"/>
      <color indexed="10"/>
      <name val="Century Gothic"/>
      <family val="2"/>
      <scheme val="minor"/>
    </font>
    <font>
      <b/>
      <sz val="10"/>
      <color theme="1"/>
      <name val="Century Gothic"/>
      <family val="2"/>
      <scheme val="minor"/>
    </font>
    <font>
      <i/>
      <sz val="10"/>
      <color indexed="8"/>
      <name val="Century Gothic"/>
      <family val="2"/>
      <scheme val="minor"/>
    </font>
    <font>
      <b/>
      <sz val="10"/>
      <color theme="0"/>
      <name val="Century Gothic"/>
      <family val="2"/>
      <scheme val="minor"/>
    </font>
    <font>
      <sz val="10"/>
      <color indexed="9"/>
      <name val="Century Gothic"/>
      <family val="2"/>
      <scheme val="minor"/>
    </font>
    <font>
      <b/>
      <sz val="10"/>
      <color indexed="9"/>
      <name val="Century Gothic"/>
      <family val="2"/>
      <scheme val="minor"/>
    </font>
    <font>
      <b/>
      <sz val="10"/>
      <color rgb="FFFF0000"/>
      <name val="Century Gothic"/>
      <family val="2"/>
      <scheme val="minor"/>
    </font>
    <font>
      <sz val="10"/>
      <color rgb="FFFF6600"/>
      <name val="Century Gothic"/>
      <family val="2"/>
      <scheme val="minor"/>
    </font>
    <font>
      <b/>
      <sz val="10"/>
      <color rgb="FFFF6600"/>
      <name val="Century Gothic"/>
      <family val="2"/>
      <scheme val="minor"/>
    </font>
    <font>
      <sz val="10"/>
      <color indexed="17"/>
      <name val="Century Gothic"/>
      <family val="2"/>
      <scheme val="minor"/>
    </font>
    <font>
      <b/>
      <sz val="10"/>
      <color indexed="17"/>
      <name val="Century Gothic"/>
      <family val="2"/>
      <scheme val="minor"/>
    </font>
    <font>
      <i/>
      <sz val="10"/>
      <color theme="0"/>
      <name val="Century Gothic"/>
      <family val="2"/>
      <scheme val="minor"/>
    </font>
    <font>
      <sz val="9"/>
      <color rgb="FF008000"/>
      <name val="Century Gothic"/>
      <family val="2"/>
      <scheme val="minor"/>
    </font>
    <font>
      <b/>
      <sz val="9"/>
      <color rgb="FF008000"/>
      <name val="Century Gothic"/>
      <family val="2"/>
      <scheme val="minor"/>
    </font>
    <font>
      <i/>
      <sz val="9"/>
      <color rgb="FF008000"/>
      <name val="Century Gothic"/>
      <family val="2"/>
      <scheme val="minor"/>
    </font>
    <font>
      <sz val="9"/>
      <color rgb="FFFF6600"/>
      <name val="Century Gothic"/>
      <family val="2"/>
      <scheme val="minor"/>
    </font>
    <font>
      <b/>
      <i/>
      <sz val="9"/>
      <color rgb="FF00800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sz val="10"/>
      <color indexed="8"/>
      <name val="Arial"/>
      <family val="2"/>
    </font>
    <font>
      <sz val="10"/>
      <name val="Century Gothic"/>
      <scheme val="minor"/>
    </font>
    <font>
      <sz val="10"/>
      <name val="Arial"/>
    </font>
  </fonts>
  <fills count="11">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rgb="FFFFFF99"/>
        <bgColor indexed="64"/>
      </patternFill>
    </fill>
    <fill>
      <patternFill patternType="solid">
        <fgColor rgb="FFCCFFFF"/>
        <bgColor indexed="64"/>
      </patternFill>
    </fill>
    <fill>
      <patternFill patternType="solid">
        <fgColor rgb="FF002060"/>
        <bgColor indexed="64"/>
      </patternFill>
    </fill>
    <fill>
      <patternFill patternType="solid">
        <fgColor rgb="FF4D4D4D"/>
        <bgColor indexed="64"/>
      </patternFill>
    </fill>
    <fill>
      <patternFill patternType="solid">
        <fgColor rgb="FF000000"/>
        <bgColor indexed="64"/>
      </patternFill>
    </fill>
    <fill>
      <patternFill patternType="solid">
        <fgColor theme="1"/>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double">
        <color indexed="64"/>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C0C0C0"/>
      </right>
      <top style="thin">
        <color indexed="64"/>
      </top>
      <bottom/>
      <diagonal/>
    </border>
    <border>
      <left/>
      <right style="thin">
        <color rgb="FFC0C0C0"/>
      </right>
      <top/>
      <bottom/>
      <diagonal/>
    </border>
    <border>
      <left style="thin">
        <color rgb="FFC0C0C0"/>
      </left>
      <right/>
      <top style="thin">
        <color indexed="64"/>
      </top>
      <bottom/>
      <diagonal/>
    </border>
    <border>
      <left style="thin">
        <color rgb="FFC0C0C0"/>
      </left>
      <right/>
      <top/>
      <bottom/>
      <diagonal/>
    </border>
  </borders>
  <cellStyleXfs count="7">
    <xf numFmtId="0" fontId="0" fillId="0" borderId="0"/>
    <xf numFmtId="164"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xf numFmtId="41" fontId="6" fillId="0" borderId="0" applyFont="0" applyFill="0" applyBorder="0" applyAlignment="0" applyProtection="0"/>
    <xf numFmtId="0" fontId="39" fillId="0" borderId="0"/>
  </cellStyleXfs>
  <cellXfs count="368">
    <xf numFmtId="0" fontId="0" fillId="0" borderId="0" xfId="0"/>
    <xf numFmtId="0" fontId="4" fillId="0" borderId="0" xfId="0" applyFont="1"/>
    <xf numFmtId="0" fontId="5" fillId="0" borderId="0" xfId="0" applyFont="1" applyAlignment="1" applyProtection="1">
      <alignment vertical="center" wrapText="1"/>
      <protection hidden="1"/>
    </xf>
    <xf numFmtId="0" fontId="5" fillId="0" borderId="0" xfId="0" applyFont="1" applyProtection="1">
      <protection hidden="1"/>
    </xf>
    <xf numFmtId="0" fontId="6" fillId="0" borderId="0" xfId="0" applyFont="1" applyProtection="1">
      <protection hidden="1"/>
    </xf>
    <xf numFmtId="0" fontId="10" fillId="0" borderId="0" xfId="2" applyFont="1" applyAlignment="1" applyProtection="1">
      <alignment horizontal="right"/>
      <protection hidden="1"/>
    </xf>
    <xf numFmtId="0" fontId="7" fillId="0" borderId="0" xfId="0" applyFont="1" applyProtection="1">
      <protection hidden="1"/>
    </xf>
    <xf numFmtId="0" fontId="11" fillId="0" borderId="0" xfId="0" applyFont="1" applyProtection="1">
      <protection hidden="1"/>
    </xf>
    <xf numFmtId="0" fontId="6" fillId="4" borderId="5" xfId="0" applyFont="1" applyFill="1" applyBorder="1" applyAlignment="1" applyProtection="1">
      <alignment horizontal="left"/>
      <protection hidden="1"/>
    </xf>
    <xf numFmtId="0" fontId="6" fillId="4" borderId="18" xfId="0" applyFont="1" applyFill="1" applyBorder="1" applyAlignment="1" applyProtection="1">
      <alignment horizontal="left"/>
      <protection hidden="1"/>
    </xf>
    <xf numFmtId="0" fontId="6" fillId="4" borderId="18" xfId="0" applyFont="1" applyFill="1" applyBorder="1" applyProtection="1">
      <protection hidden="1"/>
    </xf>
    <xf numFmtId="0" fontId="6" fillId="4" borderId="4" xfId="0" applyFont="1" applyFill="1" applyBorder="1" applyProtection="1">
      <protection hidden="1"/>
    </xf>
    <xf numFmtId="0" fontId="6" fillId="0" borderId="0" xfId="0" applyFont="1" applyAlignment="1" applyProtection="1">
      <alignment horizontal="left"/>
      <protection hidden="1"/>
    </xf>
    <xf numFmtId="0" fontId="6" fillId="4" borderId="5" xfId="0" applyFont="1" applyFill="1" applyBorder="1" applyProtection="1">
      <protection hidden="1"/>
    </xf>
    <xf numFmtId="0" fontId="6" fillId="4" borderId="4" xfId="0" applyFont="1" applyFill="1" applyBorder="1" applyAlignment="1" applyProtection="1">
      <alignment horizontal="left"/>
      <protection hidden="1"/>
    </xf>
    <xf numFmtId="0" fontId="6" fillId="4" borderId="1" xfId="0" applyFont="1" applyFill="1" applyBorder="1" applyAlignment="1" applyProtection="1">
      <alignment horizontal="left"/>
      <protection hidden="1"/>
    </xf>
    <xf numFmtId="0" fontId="7" fillId="0" borderId="0" xfId="0" applyFont="1" applyAlignment="1" applyProtection="1">
      <alignment horizontal="center"/>
      <protection hidden="1"/>
    </xf>
    <xf numFmtId="0" fontId="6" fillId="3" borderId="1" xfId="0" applyFont="1" applyFill="1" applyBorder="1" applyAlignment="1" applyProtection="1">
      <alignment horizontal="center"/>
      <protection hidden="1"/>
    </xf>
    <xf numFmtId="14" fontId="6" fillId="0" borderId="0" xfId="0" applyNumberFormat="1" applyFont="1" applyAlignment="1" applyProtection="1">
      <alignment horizontal="center"/>
      <protection hidden="1"/>
    </xf>
    <xf numFmtId="171" fontId="6" fillId="3" borderId="1" xfId="0" applyNumberFormat="1" applyFont="1" applyFill="1" applyBorder="1" applyAlignment="1" applyProtection="1">
      <alignment horizontal="center"/>
      <protection hidden="1"/>
    </xf>
    <xf numFmtId="0" fontId="12" fillId="0" borderId="0" xfId="0" applyFont="1" applyProtection="1">
      <protection hidden="1"/>
    </xf>
    <xf numFmtId="0" fontId="6" fillId="4" borderId="1" xfId="0" applyFont="1" applyFill="1" applyBorder="1" applyProtection="1">
      <protection hidden="1"/>
    </xf>
    <xf numFmtId="167" fontId="6" fillId="3" borderId="1" xfId="3" applyNumberFormat="1" applyFont="1" applyFill="1" applyBorder="1" applyAlignment="1" applyProtection="1">
      <alignment horizontal="center"/>
      <protection hidden="1"/>
    </xf>
    <xf numFmtId="167" fontId="6" fillId="0" borderId="0" xfId="3" applyNumberFormat="1" applyFont="1" applyFill="1" applyBorder="1" applyAlignment="1" applyProtection="1">
      <alignment horizontal="center"/>
      <protection hidden="1"/>
    </xf>
    <xf numFmtId="0" fontId="6" fillId="5" borderId="1" xfId="0" applyFont="1" applyFill="1" applyBorder="1" applyAlignment="1" applyProtection="1">
      <alignment horizontal="center"/>
      <protection hidden="1"/>
    </xf>
    <xf numFmtId="0" fontId="6" fillId="5" borderId="1" xfId="0" applyFont="1" applyFill="1" applyBorder="1" applyProtection="1">
      <protection hidden="1"/>
    </xf>
    <xf numFmtId="0" fontId="6" fillId="5" borderId="5" xfId="0" applyFont="1" applyFill="1" applyBorder="1" applyAlignment="1" applyProtection="1">
      <alignment horizontal="left"/>
      <protection hidden="1"/>
    </xf>
    <xf numFmtId="0" fontId="6" fillId="5" borderId="4" xfId="0" applyFont="1" applyFill="1" applyBorder="1" applyAlignment="1" applyProtection="1">
      <alignment horizontal="left"/>
      <protection hidden="1"/>
    </xf>
    <xf numFmtId="0" fontId="7" fillId="0" borderId="0" xfId="0" applyFont="1" applyAlignment="1" applyProtection="1">
      <alignment horizontal="left"/>
      <protection hidden="1"/>
    </xf>
    <xf numFmtId="0" fontId="6" fillId="4" borderId="2" xfId="0" applyFont="1" applyFill="1" applyBorder="1" applyProtection="1">
      <protection hidden="1"/>
    </xf>
    <xf numFmtId="171" fontId="11" fillId="0" borderId="0" xfId="0" applyNumberFormat="1" applyFont="1" applyAlignment="1" applyProtection="1">
      <alignment horizontal="left"/>
      <protection hidden="1"/>
    </xf>
    <xf numFmtId="0" fontId="8" fillId="3" borderId="1" xfId="0" applyFont="1" applyFill="1" applyBorder="1" applyAlignment="1" applyProtection="1">
      <alignment horizontal="left" vertical="center" wrapText="1"/>
      <protection hidden="1"/>
    </xf>
    <xf numFmtId="0" fontId="8" fillId="3" borderId="1" xfId="0" applyFont="1" applyFill="1" applyBorder="1" applyAlignment="1" applyProtection="1">
      <alignment vertical="center" wrapText="1"/>
      <protection hidden="1"/>
    </xf>
    <xf numFmtId="164" fontId="13" fillId="0" borderId="0" xfId="1" applyFont="1" applyAlignment="1" applyProtection="1">
      <alignment horizontal="right"/>
      <protection hidden="1"/>
    </xf>
    <xf numFmtId="164" fontId="6" fillId="0" borderId="0" xfId="1" applyFont="1" applyProtection="1">
      <protection hidden="1"/>
    </xf>
    <xf numFmtId="0" fontId="6" fillId="0" borderId="0" xfId="0" applyFont="1" applyAlignment="1" applyProtection="1">
      <alignment horizontal="center"/>
      <protection hidden="1"/>
    </xf>
    <xf numFmtId="164" fontId="11" fillId="0" borderId="0" xfId="1" applyFont="1" applyProtection="1">
      <protection hidden="1"/>
    </xf>
    <xf numFmtId="14" fontId="11" fillId="0" borderId="0" xfId="1" applyNumberFormat="1" applyFont="1" applyAlignment="1" applyProtection="1">
      <alignment horizontal="center"/>
      <protection hidden="1"/>
    </xf>
    <xf numFmtId="0" fontId="11" fillId="0" borderId="0" xfId="0" applyFont="1" applyAlignment="1" applyProtection="1">
      <alignment horizontal="center"/>
      <protection hidden="1"/>
    </xf>
    <xf numFmtId="0" fontId="6" fillId="0" borderId="0" xfId="0" applyFont="1" applyAlignment="1" applyProtection="1">
      <alignment vertical="center"/>
      <protection hidden="1"/>
    </xf>
    <xf numFmtId="170" fontId="6" fillId="2" borderId="2" xfId="1" applyNumberFormat="1" applyFont="1" applyFill="1" applyBorder="1" applyAlignment="1" applyProtection="1">
      <alignment horizontal="center" vertical="center"/>
      <protection hidden="1"/>
    </xf>
    <xf numFmtId="164" fontId="6" fillId="0" borderId="0" xfId="1" applyFont="1" applyAlignment="1" applyProtection="1">
      <alignment vertical="center"/>
      <protection hidden="1"/>
    </xf>
    <xf numFmtId="170" fontId="6" fillId="3" borderId="1" xfId="1" applyNumberFormat="1"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164" fontId="5" fillId="3" borderId="1" xfId="1" applyFont="1" applyFill="1" applyBorder="1" applyAlignment="1" applyProtection="1">
      <alignment horizontal="center" vertical="center" wrapText="1"/>
      <protection hidden="1"/>
    </xf>
    <xf numFmtId="164" fontId="5" fillId="2" borderId="1" xfId="1" applyFont="1" applyFill="1" applyBorder="1" applyAlignment="1" applyProtection="1">
      <alignment horizontal="center" vertical="center" wrapText="1"/>
      <protection hidden="1"/>
    </xf>
    <xf numFmtId="0" fontId="14" fillId="0" borderId="0" xfId="0" applyFont="1" applyAlignment="1" applyProtection="1">
      <alignment horizontal="left"/>
      <protection hidden="1"/>
    </xf>
    <xf numFmtId="0" fontId="14" fillId="0" borderId="0" xfId="0" applyFont="1" applyProtection="1">
      <protection hidden="1"/>
    </xf>
    <xf numFmtId="164" fontId="6" fillId="3" borderId="3" xfId="1" applyFont="1" applyFill="1" applyBorder="1" applyProtection="1">
      <protection hidden="1"/>
    </xf>
    <xf numFmtId="0" fontId="5" fillId="0" borderId="0" xfId="0" applyFont="1" applyAlignment="1" applyProtection="1">
      <alignment horizontal="center"/>
      <protection hidden="1"/>
    </xf>
    <xf numFmtId="164" fontId="6" fillId="3" borderId="1" xfId="1" applyFont="1" applyFill="1" applyBorder="1" applyProtection="1">
      <protection hidden="1"/>
    </xf>
    <xf numFmtId="0" fontId="15" fillId="0" borderId="0" xfId="0" applyFont="1" applyAlignment="1" applyProtection="1">
      <alignment horizontal="left"/>
      <protection hidden="1"/>
    </xf>
    <xf numFmtId="0" fontId="15" fillId="0" borderId="0" xfId="0" applyFont="1" applyProtection="1">
      <protection hidden="1"/>
    </xf>
    <xf numFmtId="164" fontId="15" fillId="0" borderId="0" xfId="1" applyFont="1" applyProtection="1">
      <protection hidden="1"/>
    </xf>
    <xf numFmtId="0" fontId="15" fillId="0" borderId="0" xfId="0" applyFont="1" applyAlignment="1" applyProtection="1">
      <alignment horizontal="center"/>
      <protection hidden="1"/>
    </xf>
    <xf numFmtId="14" fontId="6" fillId="0" borderId="0" xfId="1" applyNumberFormat="1" applyFont="1" applyAlignment="1" applyProtection="1">
      <alignment horizontal="center"/>
      <protection hidden="1"/>
    </xf>
    <xf numFmtId="0" fontId="5" fillId="0" borderId="0" xfId="0" applyFont="1" applyAlignment="1" applyProtection="1">
      <alignment horizontal="left"/>
      <protection hidden="1"/>
    </xf>
    <xf numFmtId="164" fontId="6" fillId="2" borderId="1" xfId="1" applyFont="1" applyFill="1" applyBorder="1" applyProtection="1">
      <protection hidden="1"/>
    </xf>
    <xf numFmtId="0" fontId="16" fillId="0" borderId="0" xfId="0" applyFont="1" applyProtection="1">
      <protection hidden="1"/>
    </xf>
    <xf numFmtId="0" fontId="8" fillId="0" borderId="0" xfId="0" applyFont="1" applyAlignment="1" applyProtection="1">
      <alignment horizontal="left"/>
      <protection hidden="1"/>
    </xf>
    <xf numFmtId="0" fontId="8" fillId="0" borderId="0" xfId="0" applyFont="1" applyProtection="1">
      <protection hidden="1"/>
    </xf>
    <xf numFmtId="164" fontId="8" fillId="0" borderId="6" xfId="1" applyFont="1" applyBorder="1" applyProtection="1">
      <protection hidden="1"/>
    </xf>
    <xf numFmtId="0" fontId="8" fillId="0" borderId="0" xfId="0" applyFont="1" applyAlignment="1" applyProtection="1">
      <alignment horizontal="center"/>
      <protection hidden="1"/>
    </xf>
    <xf numFmtId="164" fontId="6" fillId="0" borderId="0" xfId="1" applyFont="1" applyFill="1" applyBorder="1" applyProtection="1">
      <protection hidden="1"/>
    </xf>
    <xf numFmtId="0" fontId="6" fillId="0" borderId="0" xfId="4" applyFont="1" applyProtection="1">
      <protection hidden="1"/>
    </xf>
    <xf numFmtId="0" fontId="6" fillId="0" borderId="0" xfId="4" applyFont="1" applyAlignment="1" applyProtection="1">
      <alignment horizontal="left"/>
      <protection hidden="1"/>
    </xf>
    <xf numFmtId="0" fontId="6" fillId="0" borderId="0" xfId="4" applyFont="1" applyAlignment="1" applyProtection="1">
      <alignment horizontal="center"/>
      <protection hidden="1"/>
    </xf>
    <xf numFmtId="0" fontId="7" fillId="0" borderId="0" xfId="4" applyFont="1" applyProtection="1">
      <protection hidden="1"/>
    </xf>
    <xf numFmtId="14" fontId="6" fillId="4" borderId="1" xfId="1" applyNumberFormat="1" applyFont="1" applyFill="1" applyBorder="1" applyAlignment="1" applyProtection="1">
      <alignment horizontal="center"/>
      <protection hidden="1"/>
    </xf>
    <xf numFmtId="0" fontId="7" fillId="0" borderId="0" xfId="4" applyFont="1" applyAlignment="1" applyProtection="1">
      <alignment horizontal="left"/>
      <protection hidden="1"/>
    </xf>
    <xf numFmtId="0" fontId="7" fillId="0" borderId="0" xfId="4" applyFont="1" applyAlignment="1" applyProtection="1">
      <alignment horizontal="center"/>
      <protection hidden="1"/>
    </xf>
    <xf numFmtId="164" fontId="7" fillId="0" borderId="0" xfId="1" applyFont="1" applyProtection="1">
      <protection hidden="1"/>
    </xf>
    <xf numFmtId="0" fontId="17" fillId="3" borderId="1" xfId="4" applyFont="1" applyFill="1" applyBorder="1" applyAlignment="1" applyProtection="1">
      <alignment vertical="center" wrapText="1"/>
      <protection hidden="1"/>
    </xf>
    <xf numFmtId="0" fontId="17" fillId="3" borderId="1" xfId="4" applyFont="1" applyFill="1" applyBorder="1" applyAlignment="1" applyProtection="1">
      <alignment horizontal="left" vertical="center" wrapText="1"/>
      <protection hidden="1"/>
    </xf>
    <xf numFmtId="0" fontId="17" fillId="3" borderId="1" xfId="4" applyFont="1" applyFill="1" applyBorder="1" applyAlignment="1" applyProtection="1">
      <alignment horizontal="center" vertical="center" wrapText="1"/>
      <protection hidden="1"/>
    </xf>
    <xf numFmtId="0" fontId="17" fillId="5" borderId="3" xfId="1" applyNumberFormat="1" applyFont="1" applyFill="1" applyBorder="1" applyAlignment="1" applyProtection="1">
      <alignment horizontal="center" vertical="center" wrapText="1"/>
      <protection hidden="1"/>
    </xf>
    <xf numFmtId="0" fontId="17" fillId="0" borderId="0" xfId="4" applyFont="1" applyAlignment="1" applyProtection="1">
      <alignment vertical="center" wrapText="1"/>
      <protection hidden="1"/>
    </xf>
    <xf numFmtId="0" fontId="6" fillId="0" borderId="27" xfId="4" applyFont="1" applyBorder="1" applyAlignment="1" applyProtection="1">
      <alignment horizontal="center"/>
      <protection hidden="1"/>
    </xf>
    <xf numFmtId="164" fontId="6" fillId="0" borderId="29" xfId="1" applyFont="1" applyFill="1" applyBorder="1" applyAlignment="1" applyProtection="1">
      <alignment horizontal="left"/>
      <protection hidden="1"/>
    </xf>
    <xf numFmtId="164" fontId="6" fillId="0" borderId="8" xfId="1" applyFont="1" applyFill="1" applyBorder="1" applyAlignment="1" applyProtection="1">
      <alignment horizontal="left"/>
      <protection hidden="1"/>
    </xf>
    <xf numFmtId="0" fontId="6" fillId="0" borderId="28" xfId="4" applyFont="1" applyBorder="1" applyAlignment="1" applyProtection="1">
      <alignment horizontal="center"/>
      <protection hidden="1"/>
    </xf>
    <xf numFmtId="164" fontId="6" fillId="0" borderId="30" xfId="1" applyFont="1" applyFill="1" applyBorder="1" applyAlignment="1" applyProtection="1">
      <alignment horizontal="left"/>
      <protection hidden="1"/>
    </xf>
    <xf numFmtId="164" fontId="6" fillId="0" borderId="0" xfId="1" applyFont="1" applyFill="1" applyBorder="1" applyAlignment="1" applyProtection="1">
      <alignment horizontal="left"/>
      <protection hidden="1"/>
    </xf>
    <xf numFmtId="14" fontId="5" fillId="0" borderId="0" xfId="0" applyNumberFormat="1" applyFont="1" applyAlignment="1" applyProtection="1">
      <alignment horizontal="center"/>
      <protection hidden="1"/>
    </xf>
    <xf numFmtId="14" fontId="6" fillId="0" borderId="0" xfId="0" applyNumberFormat="1" applyFont="1" applyProtection="1">
      <protection hidden="1"/>
    </xf>
    <xf numFmtId="164" fontId="10" fillId="0" borderId="0" xfId="1" applyFont="1" applyAlignment="1" applyProtection="1">
      <alignment horizontal="right"/>
      <protection hidden="1"/>
    </xf>
    <xf numFmtId="0" fontId="6" fillId="0" borderId="0" xfId="1" applyNumberFormat="1" applyFont="1" applyAlignment="1" applyProtection="1">
      <alignment horizontal="center"/>
      <protection hidden="1"/>
    </xf>
    <xf numFmtId="0" fontId="11" fillId="0" borderId="0" xfId="1" applyNumberFormat="1" applyFont="1" applyAlignment="1" applyProtection="1">
      <alignment horizontal="center"/>
      <protection hidden="1"/>
    </xf>
    <xf numFmtId="14" fontId="7" fillId="0" borderId="0" xfId="0" applyNumberFormat="1" applyFont="1" applyAlignment="1" applyProtection="1">
      <alignment horizontal="center"/>
      <protection hidden="1"/>
    </xf>
    <xf numFmtId="164" fontId="18" fillId="0" borderId="0" xfId="1" applyFont="1" applyAlignment="1" applyProtection="1">
      <alignment horizontal="center"/>
      <protection hidden="1"/>
    </xf>
    <xf numFmtId="164" fontId="7" fillId="0" borderId="0" xfId="1" applyFont="1" applyAlignment="1" applyProtection="1">
      <alignment horizontal="center"/>
      <protection hidden="1"/>
    </xf>
    <xf numFmtId="0" fontId="18" fillId="0" borderId="0" xfId="1" applyNumberFormat="1" applyFont="1" applyAlignment="1" applyProtection="1">
      <alignment horizontal="center"/>
      <protection hidden="1"/>
    </xf>
    <xf numFmtId="0" fontId="17" fillId="3" borderId="3" xfId="0" applyFont="1" applyFill="1" applyBorder="1" applyAlignment="1" applyProtection="1">
      <alignment horizontal="left" wrapText="1"/>
      <protection hidden="1"/>
    </xf>
    <xf numFmtId="0" fontId="17" fillId="3" borderId="3" xfId="0" applyFont="1" applyFill="1" applyBorder="1" applyAlignment="1" applyProtection="1">
      <alignment horizontal="center" wrapText="1"/>
      <protection hidden="1"/>
    </xf>
    <xf numFmtId="0" fontId="17" fillId="3" borderId="3" xfId="0" applyFont="1" applyFill="1" applyBorder="1" applyAlignment="1" applyProtection="1">
      <alignment wrapText="1"/>
      <protection hidden="1"/>
    </xf>
    <xf numFmtId="0" fontId="17" fillId="3" borderId="3" xfId="1" applyNumberFormat="1" applyFont="1" applyFill="1" applyBorder="1" applyAlignment="1" applyProtection="1">
      <alignment horizontal="center" wrapText="1"/>
      <protection hidden="1"/>
    </xf>
    <xf numFmtId="0" fontId="17" fillId="5" borderId="3" xfId="1" applyNumberFormat="1" applyFont="1" applyFill="1" applyBorder="1" applyAlignment="1" applyProtection="1">
      <alignment horizontal="center" wrapText="1"/>
      <protection hidden="1"/>
    </xf>
    <xf numFmtId="0" fontId="17" fillId="2" borderId="3" xfId="1" applyNumberFormat="1" applyFont="1" applyFill="1" applyBorder="1" applyAlignment="1" applyProtection="1">
      <alignment horizontal="center" wrapText="1"/>
      <protection hidden="1"/>
    </xf>
    <xf numFmtId="0" fontId="17" fillId="0" borderId="0" xfId="0" applyFont="1" applyAlignment="1" applyProtection="1">
      <alignment wrapText="1"/>
      <protection hidden="1"/>
    </xf>
    <xf numFmtId="164" fontId="6" fillId="0" borderId="0" xfId="1" applyFont="1" applyAlignment="1" applyProtection="1">
      <alignment horizontal="center"/>
      <protection hidden="1"/>
    </xf>
    <xf numFmtId="0" fontId="6" fillId="7" borderId="0" xfId="4" applyFont="1" applyFill="1" applyProtection="1">
      <protection hidden="1"/>
    </xf>
    <xf numFmtId="0" fontId="5" fillId="0" borderId="0" xfId="1" applyNumberFormat="1" applyFont="1" applyProtection="1">
      <protection hidden="1"/>
    </xf>
    <xf numFmtId="0" fontId="5" fillId="0" borderId="0" xfId="1" applyNumberFormat="1" applyFont="1" applyAlignment="1" applyProtection="1">
      <alignment horizontal="right"/>
      <protection hidden="1"/>
    </xf>
    <xf numFmtId="0" fontId="6" fillId="0" borderId="0" xfId="1" applyNumberFormat="1" applyFont="1" applyProtection="1">
      <protection hidden="1"/>
    </xf>
    <xf numFmtId="0" fontId="6" fillId="0" borderId="0" xfId="1" applyNumberFormat="1" applyFont="1" applyFill="1" applyAlignment="1" applyProtection="1">
      <alignment horizontal="center"/>
      <protection hidden="1"/>
    </xf>
    <xf numFmtId="0" fontId="6" fillId="0" borderId="0" xfId="1" applyNumberFormat="1" applyFont="1" applyAlignment="1" applyProtection="1">
      <alignment horizontal="left"/>
      <protection hidden="1"/>
    </xf>
    <xf numFmtId="0" fontId="5" fillId="0" borderId="0" xfId="4" applyFont="1" applyProtection="1">
      <protection hidden="1"/>
    </xf>
    <xf numFmtId="0" fontId="5" fillId="0" borderId="0" xfId="1" applyNumberFormat="1" applyFont="1" applyAlignment="1" applyProtection="1">
      <alignment horizontal="left"/>
      <protection hidden="1"/>
    </xf>
    <xf numFmtId="0" fontId="5" fillId="4" borderId="0" xfId="1" applyNumberFormat="1" applyFont="1" applyFill="1" applyBorder="1" applyAlignment="1" applyProtection="1">
      <alignment horizontal="left"/>
      <protection hidden="1"/>
    </xf>
    <xf numFmtId="0" fontId="5" fillId="0" borderId="0" xfId="4" applyFont="1" applyAlignment="1" applyProtection="1">
      <alignment horizontal="left"/>
      <protection hidden="1"/>
    </xf>
    <xf numFmtId="0" fontId="5" fillId="7" borderId="0" xfId="4" applyFont="1" applyFill="1" applyProtection="1">
      <protection hidden="1"/>
    </xf>
    <xf numFmtId="14" fontId="5" fillId="0" borderId="0" xfId="1" applyNumberFormat="1" applyFont="1" applyAlignment="1" applyProtection="1">
      <alignment horizontal="left"/>
      <protection hidden="1"/>
    </xf>
    <xf numFmtId="0" fontId="5" fillId="0" borderId="0" xfId="4" quotePrefix="1" applyFont="1" applyAlignment="1" applyProtection="1">
      <alignment horizontal="left"/>
      <protection hidden="1"/>
    </xf>
    <xf numFmtId="0" fontId="19" fillId="9" borderId="5" xfId="1" applyNumberFormat="1" applyFont="1" applyFill="1" applyBorder="1" applyAlignment="1" applyProtection="1">
      <alignment horizontal="left"/>
      <protection hidden="1"/>
    </xf>
    <xf numFmtId="0" fontId="11" fillId="9" borderId="18" xfId="1" applyNumberFormat="1" applyFont="1" applyFill="1" applyBorder="1" applyAlignment="1" applyProtection="1">
      <alignment horizontal="center"/>
      <protection hidden="1"/>
    </xf>
    <xf numFmtId="0" fontId="6" fillId="9" borderId="18" xfId="4" applyFont="1" applyFill="1" applyBorder="1" applyProtection="1">
      <protection hidden="1"/>
    </xf>
    <xf numFmtId="0" fontId="6" fillId="9" borderId="4" xfId="4" applyFont="1" applyFill="1" applyBorder="1" applyProtection="1">
      <protection hidden="1"/>
    </xf>
    <xf numFmtId="0" fontId="6" fillId="0" borderId="19" xfId="1" applyNumberFormat="1" applyFont="1" applyBorder="1" applyAlignment="1" applyProtection="1">
      <alignment horizontal="left"/>
      <protection hidden="1"/>
    </xf>
    <xf numFmtId="0" fontId="6" fillId="0" borderId="0" xfId="1" applyNumberFormat="1" applyFont="1" applyBorder="1" applyAlignment="1" applyProtection="1">
      <alignment horizontal="left"/>
      <protection hidden="1"/>
    </xf>
    <xf numFmtId="0" fontId="6" fillId="0" borderId="20" xfId="4" applyFont="1" applyBorder="1" applyProtection="1">
      <protection hidden="1"/>
    </xf>
    <xf numFmtId="0" fontId="5" fillId="0" borderId="21" xfId="1" applyNumberFormat="1" applyFont="1" applyBorder="1" applyAlignment="1" applyProtection="1">
      <alignment horizontal="left"/>
      <protection hidden="1"/>
    </xf>
    <xf numFmtId="0" fontId="6" fillId="0" borderId="23" xfId="1" applyNumberFormat="1" applyFont="1" applyBorder="1" applyAlignment="1" applyProtection="1">
      <alignment horizontal="left" indent="1"/>
      <protection hidden="1"/>
    </xf>
    <xf numFmtId="0" fontId="6" fillId="0" borderId="23" xfId="4" applyFont="1" applyBorder="1" applyProtection="1">
      <protection hidden="1"/>
    </xf>
    <xf numFmtId="0" fontId="6" fillId="0" borderId="23" xfId="1" applyNumberFormat="1" applyFont="1" applyBorder="1" applyAlignment="1" applyProtection="1">
      <alignment horizontal="center"/>
      <protection hidden="1"/>
    </xf>
    <xf numFmtId="0" fontId="6" fillId="0" borderId="22" xfId="1" applyNumberFormat="1" applyFont="1" applyBorder="1" applyAlignment="1" applyProtection="1">
      <alignment horizontal="center"/>
      <protection hidden="1"/>
    </xf>
    <xf numFmtId="0" fontId="6" fillId="0" borderId="0" xfId="4" applyFont="1" applyAlignment="1" applyProtection="1">
      <alignment vertical="center"/>
      <protection hidden="1"/>
    </xf>
    <xf numFmtId="0" fontId="19" fillId="8" borderId="5" xfId="4" applyFont="1" applyFill="1" applyBorder="1" applyAlignment="1" applyProtection="1">
      <alignment vertical="center"/>
      <protection hidden="1"/>
    </xf>
    <xf numFmtId="0" fontId="11" fillId="8" borderId="18" xfId="4" applyFont="1" applyFill="1" applyBorder="1" applyAlignment="1" applyProtection="1">
      <alignment vertical="center"/>
      <protection hidden="1"/>
    </xf>
    <xf numFmtId="0" fontId="6" fillId="7" borderId="0" xfId="4" applyFont="1" applyFill="1" applyAlignment="1" applyProtection="1">
      <alignment vertical="center"/>
      <protection hidden="1"/>
    </xf>
    <xf numFmtId="0" fontId="20" fillId="0" borderId="0" xfId="4" applyFont="1" applyAlignment="1" applyProtection="1">
      <alignment horizontal="center"/>
      <protection hidden="1"/>
    </xf>
    <xf numFmtId="14" fontId="6" fillId="0" borderId="0" xfId="1" applyNumberFormat="1" applyFont="1" applyAlignment="1" applyProtection="1">
      <alignment horizontal="left"/>
      <protection hidden="1"/>
    </xf>
    <xf numFmtId="164" fontId="6" fillId="0" borderId="0" xfId="1" applyFont="1" applyAlignment="1" applyProtection="1">
      <alignment horizontal="left"/>
      <protection hidden="1"/>
    </xf>
    <xf numFmtId="0" fontId="21" fillId="0" borderId="0" xfId="4" applyFont="1" applyProtection="1">
      <protection hidden="1"/>
    </xf>
    <xf numFmtId="164" fontId="5" fillId="0" borderId="6" xfId="1" applyFont="1" applyBorder="1" applyProtection="1">
      <protection hidden="1"/>
    </xf>
    <xf numFmtId="173" fontId="19" fillId="9" borderId="5" xfId="4" applyNumberFormat="1" applyFont="1" applyFill="1" applyBorder="1" applyAlignment="1" applyProtection="1">
      <alignment horizontal="left"/>
      <protection hidden="1"/>
    </xf>
    <xf numFmtId="0" fontId="11" fillId="9" borderId="18" xfId="4" applyFont="1" applyFill="1" applyBorder="1" applyProtection="1">
      <protection hidden="1"/>
    </xf>
    <xf numFmtId="0" fontId="6" fillId="9" borderId="18" xfId="1" applyNumberFormat="1" applyFont="1" applyFill="1" applyBorder="1" applyAlignment="1" applyProtection="1">
      <alignment horizontal="center"/>
      <protection hidden="1"/>
    </xf>
    <xf numFmtId="0" fontId="6" fillId="9" borderId="4" xfId="1" applyNumberFormat="1" applyFont="1" applyFill="1" applyBorder="1" applyAlignment="1" applyProtection="1">
      <alignment horizontal="center"/>
      <protection hidden="1"/>
    </xf>
    <xf numFmtId="173" fontId="6" fillId="0" borderId="19" xfId="4" applyNumberFormat="1" applyFont="1" applyBorder="1" applyAlignment="1" applyProtection="1">
      <alignment horizontal="left"/>
      <protection hidden="1"/>
    </xf>
    <xf numFmtId="0" fontId="6" fillId="0" borderId="0" xfId="1" applyNumberFormat="1" applyFont="1" applyBorder="1" applyAlignment="1" applyProtection="1">
      <alignment horizontal="center"/>
      <protection hidden="1"/>
    </xf>
    <xf numFmtId="0" fontId="6" fillId="0" borderId="20" xfId="1" applyNumberFormat="1" applyFont="1" applyBorder="1" applyAlignment="1" applyProtection="1">
      <alignment horizontal="center"/>
      <protection hidden="1"/>
    </xf>
    <xf numFmtId="173" fontId="7" fillId="0" borderId="21" xfId="4" applyNumberFormat="1" applyFont="1" applyBorder="1" applyAlignment="1" applyProtection="1">
      <alignment horizontal="left"/>
      <protection hidden="1"/>
    </xf>
    <xf numFmtId="0" fontId="6" fillId="7" borderId="0" xfId="1" applyNumberFormat="1" applyFont="1" applyFill="1" applyAlignment="1" applyProtection="1">
      <alignment horizontal="center"/>
      <protection hidden="1"/>
    </xf>
    <xf numFmtId="0" fontId="5" fillId="0" borderId="0" xfId="1" applyNumberFormat="1" applyFont="1" applyFill="1" applyAlignment="1" applyProtection="1">
      <alignment horizontal="left"/>
      <protection hidden="1"/>
    </xf>
    <xf numFmtId="0" fontId="22" fillId="0" borderId="0" xfId="1" applyNumberFormat="1" applyFont="1" applyFill="1" applyBorder="1" applyAlignment="1" applyProtection="1">
      <alignment horizontal="left"/>
      <protection hidden="1"/>
    </xf>
    <xf numFmtId="0" fontId="5" fillId="4" borderId="1" xfId="4" applyFont="1" applyFill="1" applyBorder="1" applyAlignment="1" applyProtection="1">
      <alignment horizontal="center"/>
      <protection hidden="1"/>
    </xf>
    <xf numFmtId="14" fontId="5" fillId="4" borderId="1" xfId="1" applyNumberFormat="1" applyFont="1" applyFill="1" applyBorder="1" applyAlignment="1" applyProtection="1">
      <alignment horizontal="center"/>
      <protection hidden="1"/>
    </xf>
    <xf numFmtId="0" fontId="6" fillId="0" borderId="12" xfId="1" applyNumberFormat="1" applyFont="1" applyBorder="1" applyAlignment="1" applyProtection="1">
      <alignment horizontal="left"/>
      <protection hidden="1"/>
    </xf>
    <xf numFmtId="0" fontId="6" fillId="0" borderId="8" xfId="1" applyNumberFormat="1" applyFont="1" applyBorder="1" applyAlignment="1" applyProtection="1">
      <alignment horizontal="left"/>
      <protection hidden="1"/>
    </xf>
    <xf numFmtId="0" fontId="6" fillId="0" borderId="8" xfId="4" applyFont="1" applyBorder="1" applyProtection="1">
      <protection hidden="1"/>
    </xf>
    <xf numFmtId="0" fontId="6" fillId="0" borderId="13" xfId="4" applyFont="1" applyBorder="1" applyProtection="1">
      <protection hidden="1"/>
    </xf>
    <xf numFmtId="0" fontId="6" fillId="0" borderId="15" xfId="1" applyNumberFormat="1" applyFont="1" applyBorder="1" applyAlignment="1" applyProtection="1">
      <alignment horizontal="left"/>
      <protection hidden="1"/>
    </xf>
    <xf numFmtId="0" fontId="6" fillId="0" borderId="16" xfId="1" applyNumberFormat="1" applyFont="1" applyBorder="1" applyAlignment="1" applyProtection="1">
      <alignment horizontal="left"/>
      <protection hidden="1"/>
    </xf>
    <xf numFmtId="0" fontId="6" fillId="0" borderId="16" xfId="4" applyFont="1" applyBorder="1" applyProtection="1">
      <protection hidden="1"/>
    </xf>
    <xf numFmtId="0" fontId="6" fillId="0" borderId="17" xfId="4" applyFont="1" applyBorder="1" applyProtection="1">
      <protection hidden="1"/>
    </xf>
    <xf numFmtId="4" fontId="5" fillId="0" borderId="0" xfId="1" applyNumberFormat="1" applyFont="1" applyAlignment="1" applyProtection="1">
      <alignment horizontal="center"/>
      <protection hidden="1"/>
    </xf>
    <xf numFmtId="0" fontId="5" fillId="0" borderId="0" xfId="4" applyFont="1" applyAlignment="1" applyProtection="1">
      <alignment horizontal="center" vertical="center"/>
      <protection hidden="1"/>
    </xf>
    <xf numFmtId="0" fontId="19" fillId="8" borderId="1" xfId="4" applyFont="1" applyFill="1" applyBorder="1" applyAlignment="1" applyProtection="1">
      <alignment horizontal="center" vertical="center"/>
      <protection hidden="1"/>
    </xf>
    <xf numFmtId="0" fontId="19" fillId="8" borderId="1" xfId="1" applyNumberFormat="1" applyFont="1" applyFill="1" applyBorder="1" applyAlignment="1" applyProtection="1">
      <alignment horizontal="center" vertical="center"/>
      <protection hidden="1"/>
    </xf>
    <xf numFmtId="0" fontId="19" fillId="8" borderId="1" xfId="1" quotePrefix="1" applyNumberFormat="1" applyFont="1" applyFill="1" applyBorder="1" applyAlignment="1" applyProtection="1">
      <alignment horizontal="center" vertical="center"/>
      <protection hidden="1"/>
    </xf>
    <xf numFmtId="0" fontId="5" fillId="7" borderId="0" xfId="4" applyFont="1" applyFill="1" applyAlignment="1" applyProtection="1">
      <alignment horizontal="center" vertical="center"/>
      <protection hidden="1"/>
    </xf>
    <xf numFmtId="4" fontId="20" fillId="0" borderId="0" xfId="4" applyNumberFormat="1" applyFont="1" applyAlignment="1" applyProtection="1">
      <alignment horizontal="center"/>
      <protection hidden="1"/>
    </xf>
    <xf numFmtId="4" fontId="6" fillId="0" borderId="1" xfId="1" applyNumberFormat="1" applyFont="1" applyBorder="1" applyAlignment="1" applyProtection="1">
      <alignment horizontal="center"/>
      <protection hidden="1"/>
    </xf>
    <xf numFmtId="4" fontId="6" fillId="0" borderId="1" xfId="4" applyNumberFormat="1" applyFont="1" applyBorder="1" applyAlignment="1" applyProtection="1">
      <alignment horizontal="center"/>
      <protection hidden="1"/>
    </xf>
    <xf numFmtId="4" fontId="6" fillId="0" borderId="0" xfId="4" applyNumberFormat="1" applyFont="1" applyAlignment="1" applyProtection="1">
      <alignment horizontal="center"/>
      <protection hidden="1"/>
    </xf>
    <xf numFmtId="4" fontId="6" fillId="7" borderId="0" xfId="4" applyNumberFormat="1" applyFont="1" applyFill="1" applyAlignment="1" applyProtection="1">
      <alignment horizontal="center"/>
      <protection hidden="1"/>
    </xf>
    <xf numFmtId="14" fontId="20" fillId="0" borderId="0" xfId="4" applyNumberFormat="1" applyFont="1" applyAlignment="1" applyProtection="1">
      <alignment horizontal="center"/>
      <protection hidden="1"/>
    </xf>
    <xf numFmtId="14" fontId="6" fillId="0" borderId="0" xfId="1" applyNumberFormat="1" applyFont="1" applyBorder="1" applyAlignment="1" applyProtection="1">
      <alignment horizontal="center"/>
      <protection hidden="1"/>
    </xf>
    <xf numFmtId="14" fontId="6" fillId="0" borderId="0" xfId="4" applyNumberFormat="1" applyFont="1" applyProtection="1">
      <protection hidden="1"/>
    </xf>
    <xf numFmtId="14" fontId="6" fillId="7" borderId="0" xfId="4" applyNumberFormat="1" applyFont="1" applyFill="1" applyProtection="1">
      <protection hidden="1"/>
    </xf>
    <xf numFmtId="0" fontId="21" fillId="0" borderId="0" xfId="4" applyFont="1" applyAlignment="1" applyProtection="1">
      <alignment horizontal="center"/>
      <protection hidden="1"/>
    </xf>
    <xf numFmtId="0" fontId="19" fillId="9" borderId="0" xfId="1" applyNumberFormat="1" applyFont="1" applyFill="1" applyAlignment="1" applyProtection="1">
      <alignment horizontal="left"/>
      <protection hidden="1"/>
    </xf>
    <xf numFmtId="0" fontId="19" fillId="9" borderId="0" xfId="1" applyNumberFormat="1" applyFont="1" applyFill="1" applyProtection="1">
      <protection hidden="1"/>
    </xf>
    <xf numFmtId="0" fontId="19" fillId="9" borderId="0" xfId="1" applyNumberFormat="1" applyFont="1" applyFill="1" applyAlignment="1" applyProtection="1">
      <alignment horizontal="center"/>
      <protection hidden="1"/>
    </xf>
    <xf numFmtId="14" fontId="6" fillId="0" borderId="0" xfId="4" applyNumberFormat="1" applyFont="1" applyAlignment="1" applyProtection="1">
      <alignment horizontal="left"/>
      <protection hidden="1"/>
    </xf>
    <xf numFmtId="14" fontId="6" fillId="0" borderId="0" xfId="1" applyNumberFormat="1" applyFont="1" applyBorder="1" applyAlignment="1" applyProtection="1">
      <alignment horizontal="left"/>
      <protection hidden="1"/>
    </xf>
    <xf numFmtId="164" fontId="5" fillId="0" borderId="0" xfId="1" applyFont="1" applyBorder="1" applyProtection="1">
      <protection hidden="1"/>
    </xf>
    <xf numFmtId="14" fontId="7" fillId="0" borderId="0" xfId="0" applyNumberFormat="1" applyFont="1" applyAlignment="1" applyProtection="1">
      <alignment horizontal="left"/>
      <protection hidden="1"/>
    </xf>
    <xf numFmtId="164" fontId="5" fillId="0" borderId="0" xfId="1" applyFont="1" applyAlignment="1" applyProtection="1">
      <alignment horizontal="center"/>
      <protection hidden="1"/>
    </xf>
    <xf numFmtId="164" fontId="17" fillId="5" borderId="3" xfId="1" applyFont="1" applyFill="1" applyBorder="1" applyAlignment="1" applyProtection="1">
      <alignment horizontal="center" wrapText="1"/>
      <protection hidden="1"/>
    </xf>
    <xf numFmtId="164" fontId="17" fillId="2" borderId="3" xfId="1" applyFont="1" applyFill="1" applyBorder="1" applyAlignment="1" applyProtection="1">
      <alignment horizontal="center" wrapText="1"/>
      <protection hidden="1"/>
    </xf>
    <xf numFmtId="14" fontId="6" fillId="0" borderId="0" xfId="0" applyNumberFormat="1" applyFont="1" applyAlignment="1" applyProtection="1">
      <alignment horizontal="left"/>
      <protection hidden="1"/>
    </xf>
    <xf numFmtId="14" fontId="19" fillId="0" borderId="0" xfId="0" applyNumberFormat="1" applyFont="1" applyAlignment="1" applyProtection="1">
      <alignment horizontal="center"/>
      <protection hidden="1"/>
    </xf>
    <xf numFmtId="0" fontId="5" fillId="2" borderId="1" xfId="0" applyFont="1" applyFill="1" applyBorder="1" applyAlignment="1" applyProtection="1">
      <alignment vertical="center"/>
      <protection hidden="1"/>
    </xf>
    <xf numFmtId="166" fontId="5" fillId="2" borderId="4" xfId="1" applyNumberFormat="1" applyFont="1" applyFill="1" applyBorder="1" applyAlignment="1" applyProtection="1">
      <alignment horizontal="center" vertical="center" wrapText="1"/>
      <protection hidden="1"/>
    </xf>
    <xf numFmtId="166" fontId="5" fillId="2" borderId="1" xfId="1" applyNumberFormat="1" applyFont="1" applyFill="1" applyBorder="1" applyAlignment="1" applyProtection="1">
      <alignment horizontal="center" vertical="center" wrapText="1"/>
      <protection hidden="1"/>
    </xf>
    <xf numFmtId="0" fontId="19" fillId="6" borderId="1" xfId="1" applyNumberFormat="1" applyFont="1" applyFill="1" applyBorder="1" applyAlignment="1" applyProtection="1">
      <alignment horizontal="center" vertical="center" wrapText="1"/>
      <protection hidden="1"/>
    </xf>
    <xf numFmtId="166" fontId="5" fillId="0" borderId="0" xfId="0" applyNumberFormat="1" applyFont="1" applyAlignment="1" applyProtection="1">
      <alignment vertical="center" wrapText="1"/>
      <protection hidden="1"/>
    </xf>
    <xf numFmtId="164" fontId="5" fillId="0" borderId="0" xfId="1" applyFont="1" applyProtection="1">
      <protection hidden="1"/>
    </xf>
    <xf numFmtId="164" fontId="6" fillId="0" borderId="0" xfId="1" applyFont="1" applyBorder="1" applyProtection="1">
      <protection hidden="1"/>
    </xf>
    <xf numFmtId="164" fontId="8" fillId="0" borderId="0" xfId="1" applyFont="1" applyProtection="1">
      <protection hidden="1"/>
    </xf>
    <xf numFmtId="169" fontId="6" fillId="0" borderId="0" xfId="0" applyNumberFormat="1" applyFont="1" applyProtection="1">
      <protection hidden="1"/>
    </xf>
    <xf numFmtId="168" fontId="6" fillId="0" borderId="0" xfId="0" applyNumberFormat="1" applyFont="1" applyProtection="1">
      <protection hidden="1"/>
    </xf>
    <xf numFmtId="166" fontId="19" fillId="6" borderId="1" xfId="1" applyNumberFormat="1" applyFont="1" applyFill="1" applyBorder="1" applyAlignment="1" applyProtection="1">
      <alignment horizontal="center" vertical="center" wrapText="1"/>
      <protection hidden="1"/>
    </xf>
    <xf numFmtId="164" fontId="7" fillId="0" borderId="0" xfId="1" applyFont="1" applyBorder="1" applyProtection="1">
      <protection hidden="1"/>
    </xf>
    <xf numFmtId="164" fontId="12" fillId="0" borderId="0" xfId="1" applyFont="1" applyBorder="1" applyProtection="1">
      <protection hidden="1"/>
    </xf>
    <xf numFmtId="164" fontId="7" fillId="0" borderId="8" xfId="1" applyFont="1" applyBorder="1" applyProtection="1">
      <protection hidden="1"/>
    </xf>
    <xf numFmtId="164" fontId="12" fillId="0" borderId="8" xfId="1" applyFont="1" applyBorder="1" applyProtection="1">
      <protection hidden="1"/>
    </xf>
    <xf numFmtId="164" fontId="6" fillId="0" borderId="6" xfId="1" applyFont="1" applyBorder="1" applyProtection="1">
      <protection hidden="1"/>
    </xf>
    <xf numFmtId="164" fontId="7" fillId="0" borderId="6" xfId="1" applyFont="1" applyBorder="1" applyProtection="1">
      <protection hidden="1"/>
    </xf>
    <xf numFmtId="164" fontId="12" fillId="0" borderId="6" xfId="1" applyFont="1" applyBorder="1" applyProtection="1">
      <protection hidden="1"/>
    </xf>
    <xf numFmtId="0" fontId="7" fillId="0" borderId="0" xfId="1" applyNumberFormat="1" applyFont="1" applyProtection="1">
      <protection hidden="1"/>
    </xf>
    <xf numFmtId="164" fontId="14" fillId="0" borderId="0" xfId="1" applyFont="1" applyBorder="1" applyProtection="1">
      <protection hidden="1"/>
    </xf>
    <xf numFmtId="164" fontId="8" fillId="0" borderId="0" xfId="1" applyFont="1" applyBorder="1" applyProtection="1">
      <protection hidden="1"/>
    </xf>
    <xf numFmtId="164" fontId="5" fillId="0" borderId="9" xfId="1" applyFont="1" applyBorder="1" applyProtection="1">
      <protection hidden="1"/>
    </xf>
    <xf numFmtId="164" fontId="5" fillId="0" borderId="0" xfId="1" applyFont="1" applyAlignment="1" applyProtection="1">
      <alignment horizontal="left"/>
      <protection hidden="1"/>
    </xf>
    <xf numFmtId="164" fontId="7" fillId="0" borderId="0" xfId="1" applyFont="1" applyAlignment="1" applyProtection="1">
      <alignment horizontal="left"/>
      <protection hidden="1"/>
    </xf>
    <xf numFmtId="0" fontId="11" fillId="0" borderId="0" xfId="0" applyFont="1" applyAlignment="1" applyProtection="1">
      <alignment horizontal="left"/>
      <protection hidden="1"/>
    </xf>
    <xf numFmtId="0" fontId="5" fillId="2" borderId="1" xfId="0" applyFont="1" applyFill="1" applyBorder="1" applyAlignment="1" applyProtection="1">
      <alignment horizontal="left" vertical="center"/>
      <protection hidden="1"/>
    </xf>
    <xf numFmtId="164" fontId="5" fillId="0" borderId="0" xfId="1" applyFont="1" applyFill="1" applyProtection="1">
      <protection hidden="1"/>
    </xf>
    <xf numFmtId="0" fontId="5" fillId="0" borderId="0" xfId="1" applyNumberFormat="1" applyFont="1" applyFill="1" applyBorder="1" applyAlignment="1" applyProtection="1">
      <alignment horizontal="center" vertical="center" wrapText="1"/>
      <protection hidden="1"/>
    </xf>
    <xf numFmtId="164" fontId="5" fillId="0" borderId="7" xfId="1" applyFont="1" applyBorder="1" applyProtection="1">
      <protection hidden="1"/>
    </xf>
    <xf numFmtId="164" fontId="6" fillId="0" borderId="6" xfId="1" applyFont="1" applyBorder="1" applyAlignment="1" applyProtection="1">
      <alignment horizontal="left"/>
      <protection hidden="1"/>
    </xf>
    <xf numFmtId="164" fontId="5" fillId="0" borderId="6" xfId="1" applyFont="1" applyBorder="1" applyAlignment="1" applyProtection="1">
      <alignment horizontal="left"/>
      <protection hidden="1"/>
    </xf>
    <xf numFmtId="164" fontId="5" fillId="0" borderId="0" xfId="1" applyFont="1" applyBorder="1" applyAlignment="1" applyProtection="1">
      <alignment horizontal="left"/>
      <protection hidden="1"/>
    </xf>
    <xf numFmtId="0" fontId="23" fillId="0" borderId="0" xfId="1" applyNumberFormat="1" applyFont="1" applyAlignment="1" applyProtection="1">
      <alignment horizontal="left"/>
      <protection hidden="1"/>
    </xf>
    <xf numFmtId="164" fontId="23" fillId="0" borderId="0" xfId="1" applyFont="1" applyProtection="1">
      <protection hidden="1"/>
    </xf>
    <xf numFmtId="164" fontId="24" fillId="0" borderId="0" xfId="1" applyFont="1" applyProtection="1">
      <protection hidden="1"/>
    </xf>
    <xf numFmtId="0" fontId="25" fillId="0" borderId="0" xfId="0" applyFont="1" applyAlignment="1" applyProtection="1">
      <alignment horizontal="left"/>
      <protection hidden="1"/>
    </xf>
    <xf numFmtId="164" fontId="25" fillId="0" borderId="0" xfId="1" applyFont="1" applyAlignment="1" applyProtection="1">
      <alignment horizontal="center"/>
      <protection hidden="1"/>
    </xf>
    <xf numFmtId="164" fontId="26" fillId="0" borderId="0" xfId="1" applyFont="1" applyAlignment="1" applyProtection="1">
      <alignment horizontal="center"/>
      <protection hidden="1"/>
    </xf>
    <xf numFmtId="0" fontId="25" fillId="0" borderId="0" xfId="0" applyFont="1" applyProtection="1">
      <protection hidden="1"/>
    </xf>
    <xf numFmtId="165" fontId="6" fillId="0" borderId="0" xfId="0" applyNumberFormat="1" applyFont="1" applyProtection="1">
      <protection hidden="1"/>
    </xf>
    <xf numFmtId="14" fontId="5" fillId="0" borderId="0" xfId="0" applyNumberFormat="1" applyFont="1" applyAlignment="1" applyProtection="1">
      <alignment horizontal="left"/>
      <protection hidden="1"/>
    </xf>
    <xf numFmtId="172" fontId="6" fillId="0" borderId="0" xfId="1" applyNumberFormat="1" applyFont="1" applyAlignment="1" applyProtection="1">
      <alignment horizontal="left"/>
      <protection hidden="1"/>
    </xf>
    <xf numFmtId="14" fontId="11" fillId="0" borderId="0" xfId="0" applyNumberFormat="1" applyFont="1" applyAlignment="1" applyProtection="1">
      <alignment horizontal="left"/>
      <protection hidden="1"/>
    </xf>
    <xf numFmtId="164" fontId="6" fillId="4" borderId="1" xfId="1" applyFont="1" applyFill="1" applyBorder="1" applyAlignment="1" applyProtection="1">
      <alignment horizontal="center" vertical="center"/>
      <protection hidden="1"/>
    </xf>
    <xf numFmtId="164" fontId="11" fillId="0" borderId="0" xfId="1" applyFont="1" applyAlignment="1" applyProtection="1">
      <alignment horizontal="center"/>
      <protection hidden="1"/>
    </xf>
    <xf numFmtId="172" fontId="6" fillId="3" borderId="1" xfId="1" applyNumberFormat="1" applyFont="1" applyFill="1" applyBorder="1" applyAlignment="1" applyProtection="1">
      <alignment horizontal="center" vertical="center"/>
      <protection hidden="1"/>
    </xf>
    <xf numFmtId="0" fontId="5" fillId="0" borderId="0" xfId="0" applyFont="1" applyAlignment="1" applyProtection="1">
      <alignment vertical="center"/>
      <protection hidden="1"/>
    </xf>
    <xf numFmtId="0" fontId="5" fillId="5" borderId="1" xfId="0" applyFont="1" applyFill="1" applyBorder="1" applyAlignment="1" applyProtection="1">
      <alignment horizontal="left" vertical="center"/>
      <protection hidden="1"/>
    </xf>
    <xf numFmtId="0" fontId="5" fillId="5" borderId="1" xfId="1" applyNumberFormat="1" applyFont="1" applyFill="1" applyBorder="1" applyAlignment="1" applyProtection="1">
      <alignment horizontal="center" vertical="center"/>
      <protection hidden="1"/>
    </xf>
    <xf numFmtId="0" fontId="5" fillId="5" borderId="1" xfId="0" applyFont="1" applyFill="1" applyBorder="1" applyAlignment="1" applyProtection="1">
      <alignment horizontal="center" vertical="center"/>
      <protection hidden="1"/>
    </xf>
    <xf numFmtId="172" fontId="5" fillId="5" borderId="1" xfId="1" applyNumberFormat="1" applyFont="1" applyFill="1" applyBorder="1" applyAlignment="1" applyProtection="1">
      <alignment horizontal="left" vertical="center"/>
      <protection hidden="1"/>
    </xf>
    <xf numFmtId="164" fontId="6" fillId="0" borderId="0" xfId="0" applyNumberFormat="1" applyFont="1" applyProtection="1">
      <protection hidden="1"/>
    </xf>
    <xf numFmtId="172" fontId="6" fillId="0" borderId="12" xfId="1" applyNumberFormat="1" applyFont="1" applyBorder="1" applyAlignment="1" applyProtection="1">
      <alignment horizontal="left"/>
      <protection hidden="1"/>
    </xf>
    <xf numFmtId="164" fontId="6" fillId="0" borderId="8" xfId="1" applyFont="1" applyBorder="1" applyProtection="1">
      <protection hidden="1"/>
    </xf>
    <xf numFmtId="164" fontId="6" fillId="0" borderId="13" xfId="1" applyFont="1" applyBorder="1" applyProtection="1">
      <protection hidden="1"/>
    </xf>
    <xf numFmtId="172" fontId="6" fillId="0" borderId="11" xfId="1" applyNumberFormat="1" applyFont="1" applyBorder="1" applyAlignment="1" applyProtection="1">
      <alignment horizontal="left"/>
      <protection hidden="1"/>
    </xf>
    <xf numFmtId="164" fontId="6" fillId="0" borderId="14" xfId="1" applyFont="1" applyBorder="1" applyProtection="1">
      <protection hidden="1"/>
    </xf>
    <xf numFmtId="172" fontId="6" fillId="0" borderId="15" xfId="1" applyNumberFormat="1" applyFont="1" applyBorder="1" applyAlignment="1" applyProtection="1">
      <alignment horizontal="left"/>
      <protection hidden="1"/>
    </xf>
    <xf numFmtId="164" fontId="6" fillId="0" borderId="16" xfId="1" applyFont="1" applyBorder="1" applyProtection="1">
      <protection hidden="1"/>
    </xf>
    <xf numFmtId="164" fontId="6" fillId="0" borderId="17" xfId="1" applyFont="1" applyBorder="1" applyProtection="1">
      <protection hidden="1"/>
    </xf>
    <xf numFmtId="0" fontId="11" fillId="6" borderId="1" xfId="0" applyFont="1" applyFill="1" applyBorder="1" applyAlignment="1" applyProtection="1">
      <alignment horizontal="center"/>
      <protection hidden="1"/>
    </xf>
    <xf numFmtId="167" fontId="6" fillId="0" borderId="0" xfId="3" applyNumberFormat="1" applyFont="1" applyProtection="1">
      <protection hidden="1"/>
    </xf>
    <xf numFmtId="0" fontId="6" fillId="4" borderId="1" xfId="0" applyFont="1" applyFill="1" applyBorder="1" applyAlignment="1" applyProtection="1">
      <alignment horizontal="center"/>
      <protection hidden="1"/>
    </xf>
    <xf numFmtId="14" fontId="27" fillId="0" borderId="0" xfId="0" applyNumberFormat="1" applyFont="1" applyAlignment="1" applyProtection="1">
      <alignment horizontal="left"/>
      <protection hidden="1"/>
    </xf>
    <xf numFmtId="167" fontId="7" fillId="0" borderId="0" xfId="3" applyNumberFormat="1" applyFont="1" applyProtection="1">
      <protection hidden="1"/>
    </xf>
    <xf numFmtId="14" fontId="11" fillId="0" borderId="0" xfId="0" applyNumberFormat="1" applyFont="1" applyAlignment="1" applyProtection="1">
      <alignment horizontal="left" vertical="center"/>
      <protection hidden="1"/>
    </xf>
    <xf numFmtId="0" fontId="19" fillId="6" borderId="1" xfId="0" applyFont="1" applyFill="1" applyBorder="1" applyAlignment="1" applyProtection="1">
      <alignment horizontal="center" vertical="center"/>
      <protection hidden="1"/>
    </xf>
    <xf numFmtId="14" fontId="5" fillId="5" borderId="1" xfId="0" applyNumberFormat="1" applyFont="1" applyFill="1" applyBorder="1" applyAlignment="1" applyProtection="1">
      <alignment horizontal="left" vertical="center"/>
      <protection hidden="1"/>
    </xf>
    <xf numFmtId="164" fontId="5" fillId="5" borderId="1" xfId="1" applyFont="1" applyFill="1" applyBorder="1" applyAlignment="1" applyProtection="1">
      <alignment horizontal="center" vertical="center"/>
      <protection hidden="1"/>
    </xf>
    <xf numFmtId="0" fontId="5" fillId="5" borderId="4" xfId="0" applyFont="1" applyFill="1" applyBorder="1" applyAlignment="1" applyProtection="1">
      <alignment horizontal="center" vertical="center"/>
      <protection hidden="1"/>
    </xf>
    <xf numFmtId="167" fontId="5" fillId="5" borderId="1" xfId="3" applyNumberFormat="1" applyFont="1" applyFill="1" applyBorder="1" applyAlignment="1" applyProtection="1">
      <alignment horizontal="center" vertical="center"/>
      <protection hidden="1"/>
    </xf>
    <xf numFmtId="14" fontId="6" fillId="0" borderId="2" xfId="0" applyNumberFormat="1" applyFont="1" applyBorder="1" applyAlignment="1" applyProtection="1">
      <alignment horizontal="left"/>
      <protection hidden="1"/>
    </xf>
    <xf numFmtId="164" fontId="6" fillId="0" borderId="2" xfId="1" applyFont="1" applyBorder="1" applyProtection="1">
      <protection hidden="1"/>
    </xf>
    <xf numFmtId="164" fontId="6" fillId="0" borderId="12" xfId="1" applyFont="1" applyBorder="1" applyProtection="1">
      <protection hidden="1"/>
    </xf>
    <xf numFmtId="164" fontId="6" fillId="0" borderId="13" xfId="0" applyNumberFormat="1" applyFont="1" applyBorder="1" applyProtection="1">
      <protection hidden="1"/>
    </xf>
    <xf numFmtId="167" fontId="6" fillId="0" borderId="12" xfId="3" applyNumberFormat="1" applyFont="1" applyBorder="1" applyProtection="1">
      <protection hidden="1"/>
    </xf>
    <xf numFmtId="167" fontId="6" fillId="0" borderId="13" xfId="3" applyNumberFormat="1" applyFont="1" applyBorder="1" applyProtection="1">
      <protection hidden="1"/>
    </xf>
    <xf numFmtId="14" fontId="6" fillId="0" borderId="10" xfId="0" applyNumberFormat="1" applyFont="1" applyBorder="1" applyAlignment="1" applyProtection="1">
      <alignment horizontal="left"/>
      <protection hidden="1"/>
    </xf>
    <xf numFmtId="164" fontId="6" fillId="0" borderId="10" xfId="1" applyFont="1" applyBorder="1" applyProtection="1">
      <protection hidden="1"/>
    </xf>
    <xf numFmtId="164" fontId="6" fillId="0" borderId="11" xfId="1" applyFont="1" applyBorder="1" applyProtection="1">
      <protection hidden="1"/>
    </xf>
    <xf numFmtId="164" fontId="6" fillId="0" borderId="14" xfId="0" applyNumberFormat="1" applyFont="1" applyBorder="1" applyProtection="1">
      <protection hidden="1"/>
    </xf>
    <xf numFmtId="167" fontId="6" fillId="0" borderId="11" xfId="3" applyNumberFormat="1" applyFont="1" applyBorder="1" applyProtection="1">
      <protection hidden="1"/>
    </xf>
    <xf numFmtId="167" fontId="6" fillId="0" borderId="14" xfId="3" applyNumberFormat="1" applyFont="1" applyBorder="1" applyProtection="1">
      <protection hidden="1"/>
    </xf>
    <xf numFmtId="14" fontId="6" fillId="0" borderId="3" xfId="0" applyNumberFormat="1" applyFont="1" applyBorder="1" applyAlignment="1" applyProtection="1">
      <alignment horizontal="left"/>
      <protection hidden="1"/>
    </xf>
    <xf numFmtId="164" fontId="6" fillId="0" borderId="3" xfId="1" applyFont="1" applyBorder="1" applyProtection="1">
      <protection hidden="1"/>
    </xf>
    <xf numFmtId="164" fontId="6" fillId="0" borderId="15" xfId="1" applyFont="1" applyBorder="1" applyProtection="1">
      <protection hidden="1"/>
    </xf>
    <xf numFmtId="164" fontId="6" fillId="0" borderId="17" xfId="0" applyNumberFormat="1" applyFont="1" applyBorder="1" applyProtection="1">
      <protection hidden="1"/>
    </xf>
    <xf numFmtId="167" fontId="6" fillId="0" borderId="15" xfId="3" applyNumberFormat="1" applyFont="1" applyBorder="1" applyProtection="1">
      <protection hidden="1"/>
    </xf>
    <xf numFmtId="167" fontId="6" fillId="0" borderId="17" xfId="3" applyNumberFormat="1" applyFont="1" applyBorder="1" applyProtection="1">
      <protection hidden="1"/>
    </xf>
    <xf numFmtId="14" fontId="9" fillId="0" borderId="0" xfId="0" applyNumberFormat="1"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0" xfId="4" applyFont="1" applyAlignment="1" applyProtection="1">
      <alignment vertical="center"/>
      <protection hidden="1"/>
    </xf>
    <xf numFmtId="0" fontId="9" fillId="7" borderId="0" xfId="4" applyFont="1" applyFill="1" applyAlignment="1" applyProtection="1">
      <alignment vertical="center"/>
      <protection hidden="1"/>
    </xf>
    <xf numFmtId="0" fontId="28" fillId="0" borderId="0" xfId="0" applyFont="1" applyAlignment="1" applyProtection="1">
      <alignment horizontal="left"/>
      <protection hidden="1"/>
    </xf>
    <xf numFmtId="0" fontId="29" fillId="0" borderId="0" xfId="0" applyFont="1" applyAlignment="1" applyProtection="1">
      <alignment horizontal="left"/>
      <protection hidden="1"/>
    </xf>
    <xf numFmtId="0" fontId="28" fillId="0" borderId="0" xfId="1" applyNumberFormat="1" applyFont="1" applyFill="1" applyBorder="1" applyAlignment="1" applyProtection="1">
      <alignment horizontal="left"/>
      <protection hidden="1"/>
    </xf>
    <xf numFmtId="0" fontId="30" fillId="0" borderId="0" xfId="0" applyFont="1" applyAlignment="1" applyProtection="1">
      <alignment horizontal="left"/>
      <protection hidden="1"/>
    </xf>
    <xf numFmtId="0" fontId="31" fillId="0" borderId="0" xfId="0" applyFont="1" applyAlignment="1" applyProtection="1">
      <alignment horizontal="left"/>
      <protection hidden="1"/>
    </xf>
    <xf numFmtId="0" fontId="32" fillId="0" borderId="0" xfId="0" applyFont="1" applyAlignment="1" applyProtection="1">
      <alignment horizontal="left"/>
      <protection hidden="1"/>
    </xf>
    <xf numFmtId="0" fontId="29" fillId="0" borderId="0" xfId="1" applyNumberFormat="1" applyFont="1" applyFill="1" applyBorder="1" applyAlignment="1" applyProtection="1">
      <alignment horizontal="left"/>
      <protection hidden="1"/>
    </xf>
    <xf numFmtId="0" fontId="28" fillId="0" borderId="0" xfId="0" applyFont="1" applyProtection="1">
      <protection hidden="1"/>
    </xf>
    <xf numFmtId="0" fontId="29" fillId="0" borderId="0" xfId="0" applyFont="1" applyAlignment="1" applyProtection="1">
      <alignment vertical="center" wrapText="1"/>
      <protection hidden="1"/>
    </xf>
    <xf numFmtId="0" fontId="31" fillId="0" borderId="0" xfId="0" applyFont="1" applyProtection="1">
      <protection hidden="1"/>
    </xf>
    <xf numFmtId="0" fontId="29" fillId="0" borderId="0" xfId="0" applyFont="1" applyProtection="1">
      <protection hidden="1"/>
    </xf>
    <xf numFmtId="0" fontId="31" fillId="0" borderId="0" xfId="1" applyNumberFormat="1" applyFont="1" applyProtection="1">
      <protection hidden="1"/>
    </xf>
    <xf numFmtId="0" fontId="33" fillId="0" borderId="0" xfId="0" applyFont="1" applyAlignment="1" applyProtection="1">
      <alignment horizontal="left" wrapText="1"/>
      <protection hidden="1"/>
    </xf>
    <xf numFmtId="0" fontId="1" fillId="0" borderId="0" xfId="0" applyFont="1" applyAlignment="1" applyProtection="1">
      <alignment vertical="center" wrapText="1"/>
      <protection hidden="1"/>
    </xf>
    <xf numFmtId="0" fontId="34" fillId="0" borderId="0" xfId="0" applyFont="1" applyAlignment="1" applyProtection="1">
      <alignment horizontal="left" wrapText="1"/>
      <protection hidden="1"/>
    </xf>
    <xf numFmtId="0" fontId="35" fillId="0" borderId="0" xfId="2" applyFont="1" applyAlignment="1" applyProtection="1">
      <alignment horizontal="left" wrapText="1"/>
      <protection hidden="1"/>
    </xf>
    <xf numFmtId="0" fontId="3" fillId="0" borderId="0" xfId="2" applyAlignment="1" applyProtection="1">
      <alignment horizontal="right" wrapText="1"/>
      <protection hidden="1"/>
    </xf>
    <xf numFmtId="0" fontId="1" fillId="0" borderId="0" xfId="0" applyFont="1" applyAlignment="1" applyProtection="1">
      <alignment horizontal="justify" wrapText="1"/>
      <protection hidden="1"/>
    </xf>
    <xf numFmtId="0" fontId="34" fillId="0" borderId="0" xfId="0" applyFont="1" applyAlignment="1" applyProtection="1">
      <alignment horizontal="justify" wrapText="1"/>
      <protection hidden="1"/>
    </xf>
    <xf numFmtId="0" fontId="36" fillId="0" borderId="0" xfId="0" applyFont="1" applyAlignment="1" applyProtection="1">
      <alignment horizontal="justify" wrapText="1"/>
      <protection hidden="1"/>
    </xf>
    <xf numFmtId="0" fontId="34" fillId="0" borderId="0" xfId="0" applyFont="1" applyAlignment="1" applyProtection="1">
      <alignment vertical="center" wrapText="1"/>
      <protection hidden="1"/>
    </xf>
    <xf numFmtId="0" fontId="36" fillId="0" borderId="0" xfId="0" applyFont="1" applyAlignment="1" applyProtection="1">
      <alignment vertical="center" wrapText="1"/>
      <protection hidden="1"/>
    </xf>
    <xf numFmtId="0" fontId="1" fillId="0" borderId="0" xfId="0" applyFont="1" applyAlignment="1" applyProtection="1">
      <alignment horizontal="justify" vertical="center" wrapText="1"/>
      <protection hidden="1"/>
    </xf>
    <xf numFmtId="0" fontId="34" fillId="0" borderId="0" xfId="0" applyFont="1" applyAlignment="1" applyProtection="1">
      <alignment horizontal="justify" vertical="center" wrapText="1"/>
      <protection hidden="1"/>
    </xf>
    <xf numFmtId="0" fontId="36" fillId="0" borderId="0" xfId="0" applyFont="1" applyAlignment="1" applyProtection="1">
      <alignment horizontal="justify" vertical="center" wrapText="1"/>
      <protection hidden="1"/>
    </xf>
    <xf numFmtId="0" fontId="37" fillId="0" borderId="0" xfId="0" applyFont="1" applyAlignment="1" applyProtection="1">
      <alignment horizontal="justify" wrapText="1"/>
      <protection hidden="1"/>
    </xf>
    <xf numFmtId="0" fontId="1" fillId="0" borderId="0" xfId="0" applyFont="1" applyAlignment="1" applyProtection="1">
      <alignment wrapText="1"/>
      <protection hidden="1"/>
    </xf>
    <xf numFmtId="0" fontId="19" fillId="8" borderId="18" xfId="1" applyNumberFormat="1" applyFont="1" applyFill="1" applyBorder="1" applyAlignment="1" applyProtection="1">
      <alignment horizontal="right" vertical="center" indent="1"/>
      <protection hidden="1"/>
    </xf>
    <xf numFmtId="0" fontId="19" fillId="8" borderId="4" xfId="1" applyNumberFormat="1" applyFont="1" applyFill="1" applyBorder="1" applyAlignment="1" applyProtection="1">
      <alignment horizontal="right" vertical="center" indent="2"/>
      <protection hidden="1"/>
    </xf>
    <xf numFmtId="0" fontId="19" fillId="8" borderId="18" xfId="4" applyFont="1" applyFill="1" applyBorder="1" applyAlignment="1" applyProtection="1">
      <alignment horizontal="right" vertical="center" indent="1"/>
      <protection hidden="1"/>
    </xf>
    <xf numFmtId="164" fontId="11" fillId="6" borderId="1" xfId="1" applyFont="1" applyFill="1" applyBorder="1" applyAlignment="1" applyProtection="1">
      <alignment horizontal="center"/>
      <protection hidden="1"/>
    </xf>
    <xf numFmtId="164" fontId="0" fillId="0" borderId="0" xfId="1" applyFont="1" applyAlignment="1" applyProtection="1">
      <alignment horizontal="center"/>
      <protection hidden="1"/>
    </xf>
    <xf numFmtId="14" fontId="17" fillId="3" borderId="3" xfId="0" applyNumberFormat="1" applyFont="1" applyFill="1" applyBorder="1" applyAlignment="1" applyProtection="1">
      <alignment horizontal="center" wrapText="1"/>
      <protection hidden="1"/>
    </xf>
    <xf numFmtId="14" fontId="17" fillId="3" borderId="3" xfId="0" applyNumberFormat="1" applyFont="1" applyFill="1" applyBorder="1" applyAlignment="1" applyProtection="1">
      <alignment horizontal="left" wrapText="1"/>
      <protection hidden="1"/>
    </xf>
    <xf numFmtId="0" fontId="3" fillId="4" borderId="5" xfId="2" applyFill="1" applyBorder="1" applyAlignment="1" applyProtection="1">
      <protection hidden="1"/>
    </xf>
    <xf numFmtId="0" fontId="0" fillId="4" borderId="5" xfId="0" applyFill="1" applyBorder="1" applyAlignment="1" applyProtection="1">
      <alignment horizontal="left"/>
      <protection hidden="1"/>
    </xf>
    <xf numFmtId="0" fontId="0" fillId="4" borderId="1" xfId="0" quotePrefix="1" applyFill="1" applyBorder="1" applyAlignment="1" applyProtection="1">
      <alignment horizontal="left"/>
      <protection hidden="1"/>
    </xf>
    <xf numFmtId="0" fontId="0" fillId="4" borderId="2" xfId="0" quotePrefix="1" applyFill="1" applyBorder="1" applyAlignment="1" applyProtection="1">
      <alignment horizontal="left"/>
      <protection hidden="1"/>
    </xf>
    <xf numFmtId="0" fontId="0" fillId="4" borderId="1" xfId="0" applyFill="1" applyBorder="1" applyProtection="1">
      <protection hidden="1"/>
    </xf>
    <xf numFmtId="0" fontId="0" fillId="0" borderId="0" xfId="4" applyFont="1" applyProtection="1">
      <protection hidden="1"/>
    </xf>
    <xf numFmtId="0" fontId="0" fillId="0" borderId="0" xfId="0" applyAlignment="1" applyProtection="1">
      <alignment horizontal="left"/>
      <protection hidden="1"/>
    </xf>
    <xf numFmtId="0" fontId="0" fillId="0" borderId="0" xfId="0" applyProtection="1">
      <protection hidden="1"/>
    </xf>
    <xf numFmtId="0" fontId="19" fillId="8" borderId="18" xfId="1" applyNumberFormat="1" applyFont="1" applyFill="1" applyBorder="1" applyAlignment="1" applyProtection="1">
      <alignment vertical="center"/>
      <protection hidden="1"/>
    </xf>
    <xf numFmtId="0" fontId="38" fillId="0" borderId="0" xfId="4" applyFont="1" applyProtection="1">
      <protection hidden="1"/>
    </xf>
    <xf numFmtId="0" fontId="38" fillId="0" borderId="0" xfId="4" applyFont="1" applyAlignment="1" applyProtection="1">
      <alignment horizontal="left"/>
      <protection hidden="1"/>
    </xf>
    <xf numFmtId="0" fontId="38" fillId="0" borderId="28" xfId="4" applyFont="1" applyBorder="1" applyAlignment="1" applyProtection="1">
      <alignment horizontal="center"/>
      <protection hidden="1"/>
    </xf>
    <xf numFmtId="164" fontId="38" fillId="0" borderId="30" xfId="1" applyFont="1" applyFill="1" applyBorder="1" applyAlignment="1" applyProtection="1">
      <alignment horizontal="left"/>
      <protection hidden="1"/>
    </xf>
    <xf numFmtId="164" fontId="38" fillId="0" borderId="0" xfId="1" applyFont="1" applyFill="1" applyAlignment="1" applyProtection="1">
      <alignment horizontal="left"/>
      <protection hidden="1"/>
    </xf>
    <xf numFmtId="0" fontId="38" fillId="0" borderId="0" xfId="0" applyFont="1" applyAlignment="1" applyProtection="1">
      <alignment horizontal="left"/>
      <protection hidden="1"/>
    </xf>
    <xf numFmtId="0" fontId="38" fillId="0" borderId="0" xfId="0" applyFont="1" applyProtection="1">
      <protection hidden="1"/>
    </xf>
    <xf numFmtId="164" fontId="38" fillId="0" borderId="0" xfId="1" applyFont="1" applyProtection="1">
      <protection hidden="1"/>
    </xf>
    <xf numFmtId="164" fontId="38" fillId="0" borderId="0" xfId="1" applyFont="1" applyAlignment="1" applyProtection="1">
      <alignment horizontal="center"/>
      <protection hidden="1"/>
    </xf>
    <xf numFmtId="0" fontId="38" fillId="0" borderId="0" xfId="0" applyFont="1" applyAlignment="1" applyProtection="1">
      <alignment horizontal="center"/>
      <protection hidden="1"/>
    </xf>
    <xf numFmtId="0" fontId="0" fillId="10" borderId="0" xfId="0" applyFill="1" applyAlignment="1" applyProtection="1">
      <alignment horizontal="left"/>
      <protection hidden="1"/>
    </xf>
    <xf numFmtId="14" fontId="6" fillId="10" borderId="0" xfId="0" applyNumberFormat="1" applyFont="1" applyFill="1" applyAlignment="1" applyProtection="1">
      <alignment horizontal="center"/>
      <protection hidden="1"/>
    </xf>
    <xf numFmtId="0" fontId="6" fillId="10" borderId="0" xfId="0" applyFont="1" applyFill="1" applyAlignment="1" applyProtection="1">
      <alignment horizontal="left"/>
      <protection hidden="1"/>
    </xf>
    <xf numFmtId="0" fontId="0" fillId="10" borderId="0" xfId="0" applyFill="1" applyProtection="1">
      <protection hidden="1"/>
    </xf>
    <xf numFmtId="164" fontId="6" fillId="10" borderId="0" xfId="1" applyFont="1" applyFill="1" applyProtection="1">
      <protection hidden="1"/>
    </xf>
    <xf numFmtId="164" fontId="6" fillId="10" borderId="0" xfId="1" applyFont="1" applyFill="1" applyAlignment="1" applyProtection="1">
      <alignment horizontal="center"/>
      <protection hidden="1"/>
    </xf>
    <xf numFmtId="0" fontId="6" fillId="10" borderId="0" xfId="0" applyFont="1" applyFill="1" applyAlignment="1" applyProtection="1">
      <alignment horizontal="center"/>
      <protection hidden="1"/>
    </xf>
    <xf numFmtId="164" fontId="0" fillId="10" borderId="0" xfId="1" applyFont="1" applyFill="1" applyAlignment="1" applyProtection="1">
      <alignment horizontal="center"/>
      <protection hidden="1"/>
    </xf>
    <xf numFmtId="0" fontId="0" fillId="0" borderId="0" xfId="0" applyAlignment="1" applyProtection="1">
      <alignment horizontal="center"/>
      <protection hidden="1"/>
    </xf>
    <xf numFmtId="174" fontId="38" fillId="0" borderId="0" xfId="0" applyNumberFormat="1" applyFont="1" applyAlignment="1" applyProtection="1">
      <alignment horizontal="center"/>
      <protection hidden="1"/>
    </xf>
    <xf numFmtId="0" fontId="38" fillId="0" borderId="0" xfId="1" applyNumberFormat="1" applyFont="1" applyAlignment="1" applyProtection="1">
      <alignment horizontal="center"/>
      <protection hidden="1"/>
    </xf>
    <xf numFmtId="175" fontId="39" fillId="0" borderId="0" xfId="5" applyNumberFormat="1" applyFont="1"/>
    <xf numFmtId="164" fontId="0" fillId="0" borderId="0" xfId="1" applyFont="1" applyProtection="1">
      <protection hidden="1"/>
    </xf>
    <xf numFmtId="14" fontId="0" fillId="0" borderId="0" xfId="0" applyNumberFormat="1" applyProtection="1">
      <protection hidden="1"/>
    </xf>
    <xf numFmtId="14" fontId="0" fillId="4" borderId="1" xfId="1" applyNumberFormat="1" applyFont="1" applyFill="1" applyBorder="1" applyAlignment="1" applyProtection="1">
      <alignment horizontal="center"/>
      <protection hidden="1"/>
    </xf>
    <xf numFmtId="14" fontId="0" fillId="0" borderId="0" xfId="0" applyNumberFormat="1" applyAlignment="1" applyProtection="1">
      <alignment horizontal="left"/>
      <protection hidden="1"/>
    </xf>
    <xf numFmtId="14" fontId="0" fillId="0" borderId="0" xfId="0" applyNumberFormat="1" applyAlignment="1" applyProtection="1">
      <alignment horizontal="center"/>
      <protection hidden="1"/>
    </xf>
    <xf numFmtId="164" fontId="0" fillId="0" borderId="0" xfId="1" applyFont="1"/>
    <xf numFmtId="0" fontId="38" fillId="0" borderId="0" xfId="0" applyNumberFormat="1" applyFont="1" applyAlignment="1" applyProtection="1">
      <alignment horizontal="left"/>
      <protection hidden="1"/>
    </xf>
    <xf numFmtId="164" fontId="38" fillId="0" borderId="0" xfId="1" applyNumberFormat="1" applyFont="1" applyAlignment="1" applyProtection="1">
      <alignment horizontal="center"/>
      <protection hidden="1"/>
    </xf>
    <xf numFmtId="164" fontId="38" fillId="0" borderId="0" xfId="1" applyNumberFormat="1" applyFont="1" applyProtection="1">
      <protection hidden="1"/>
    </xf>
    <xf numFmtId="0" fontId="38" fillId="0" borderId="0" xfId="4" applyFont="1" applyFill="1" applyProtection="1">
      <protection hidden="1"/>
    </xf>
    <xf numFmtId="0" fontId="38" fillId="0" borderId="0" xfId="4" applyFont="1" applyFill="1" applyAlignment="1" applyProtection="1">
      <alignment horizontal="left"/>
      <protection hidden="1"/>
    </xf>
    <xf numFmtId="0" fontId="38" fillId="0" borderId="28" xfId="4" applyFont="1" applyFill="1" applyBorder="1" applyAlignment="1" applyProtection="1">
      <alignment horizontal="center"/>
      <protection hidden="1"/>
    </xf>
    <xf numFmtId="164" fontId="38" fillId="0" borderId="30" xfId="1" applyNumberFormat="1" applyFont="1" applyFill="1" applyBorder="1" applyAlignment="1" applyProtection="1">
      <alignment horizontal="left"/>
      <protection hidden="1"/>
    </xf>
    <xf numFmtId="164" fontId="38" fillId="0" borderId="0" xfId="1" applyNumberFormat="1" applyFont="1" applyFill="1" applyAlignment="1" applyProtection="1">
      <alignment horizontal="left"/>
      <protection hidden="1"/>
    </xf>
    <xf numFmtId="0" fontId="0" fillId="0" borderId="0" xfId="0" applyFont="1" applyProtection="1">
      <protection hidden="1"/>
    </xf>
    <xf numFmtId="0" fontId="0" fillId="3" borderId="12" xfId="0" applyFill="1" applyBorder="1" applyAlignment="1" applyProtection="1">
      <alignment horizontal="left"/>
      <protection hidden="1"/>
    </xf>
    <xf numFmtId="0" fontId="6" fillId="3" borderId="13" xfId="0" applyFont="1" applyFill="1" applyBorder="1" applyAlignment="1" applyProtection="1">
      <alignment horizontal="left"/>
      <protection hidden="1"/>
    </xf>
    <xf numFmtId="0" fontId="9" fillId="0" borderId="24" xfId="1" applyNumberFormat="1" applyFont="1" applyBorder="1" applyAlignment="1" applyProtection="1">
      <alignment horizontal="center" vertical="center"/>
      <protection hidden="1"/>
    </xf>
    <xf numFmtId="0" fontId="9" fillId="0" borderId="25" xfId="1" applyNumberFormat="1" applyFont="1" applyBorder="1" applyAlignment="1" applyProtection="1">
      <alignment horizontal="center" vertical="center"/>
      <protection hidden="1"/>
    </xf>
    <xf numFmtId="0" fontId="9" fillId="0" borderId="26" xfId="1" applyNumberFormat="1" applyFont="1" applyBorder="1" applyAlignment="1" applyProtection="1">
      <alignment horizontal="center" vertical="center"/>
      <protection hidden="1"/>
    </xf>
    <xf numFmtId="14" fontId="19" fillId="6" borderId="5" xfId="0" applyNumberFormat="1" applyFont="1" applyFill="1" applyBorder="1" applyAlignment="1" applyProtection="1">
      <alignment horizontal="center" vertical="center"/>
      <protection hidden="1"/>
    </xf>
    <xf numFmtId="14" fontId="19" fillId="6" borderId="18" xfId="0" applyNumberFormat="1" applyFont="1" applyFill="1" applyBorder="1" applyAlignment="1" applyProtection="1">
      <alignment horizontal="center" vertical="center"/>
      <protection hidden="1"/>
    </xf>
    <xf numFmtId="14" fontId="19" fillId="6" borderId="4" xfId="0" applyNumberFormat="1" applyFont="1" applyFill="1" applyBorder="1" applyAlignment="1" applyProtection="1">
      <alignment horizontal="center" vertical="center"/>
      <protection hidden="1"/>
    </xf>
    <xf numFmtId="164" fontId="19" fillId="6" borderId="1" xfId="1" applyFont="1" applyFill="1" applyBorder="1" applyAlignment="1" applyProtection="1">
      <alignment horizontal="center" vertical="center"/>
      <protection hidden="1"/>
    </xf>
    <xf numFmtId="0" fontId="19" fillId="6" borderId="1" xfId="0" applyFont="1" applyFill="1" applyBorder="1" applyAlignment="1" applyProtection="1">
      <alignment horizontal="center" vertical="center"/>
      <protection hidden="1"/>
    </xf>
    <xf numFmtId="167" fontId="19" fillId="6" borderId="1" xfId="3" applyNumberFormat="1" applyFont="1" applyFill="1" applyBorder="1" applyAlignment="1" applyProtection="1">
      <alignment horizontal="center" vertical="center"/>
      <protection hidden="1"/>
    </xf>
  </cellXfs>
  <cellStyles count="7">
    <cellStyle name="Comma" xfId="1" builtinId="3"/>
    <cellStyle name="Comma [0]" xfId="5" builtinId="6"/>
    <cellStyle name="Hyperlink" xfId="2" builtinId="8"/>
    <cellStyle name="Normal" xfId="0" builtinId="0" customBuiltin="1"/>
    <cellStyle name="Normal 2" xfId="4" xr:uid="{00000000-0005-0000-0000-000004000000}"/>
    <cellStyle name="Normal 3" xfId="6" xr:uid="{00000000-0005-0000-0000-000005000000}"/>
    <cellStyle name="Percent" xfId="3" builtinId="5"/>
  </cellStyles>
  <dxfs count="68">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Century Gothic"/>
        <family val="2"/>
        <scheme val="minor"/>
      </font>
      <numFmt numFmtId="164"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0.00_);_(* \(#,##0.00\);_(* &quot;-&quot;??_);_(@_)"/>
      <protection locked="1" hidden="1"/>
    </dxf>
    <dxf>
      <font>
        <b val="0"/>
        <i val="0"/>
        <strike val="0"/>
        <condense val="0"/>
        <extend val="0"/>
        <outline val="0"/>
        <shadow val="0"/>
        <u val="none"/>
        <vertAlign val="baseline"/>
        <sz val="10"/>
        <color auto="1"/>
        <name val="Century Gothic"/>
        <family val="2"/>
        <scheme val="minor"/>
      </font>
      <numFmt numFmtId="164" formatCode="_(* #,##0.00_);_(* \(#,##0.00\);_(* &quot;-&quot;??_);_(@_)"/>
      <alignment horizontal="center" vertical="bottom" textRotation="0" wrapText="0" indent="0" justifyLastLine="0" shrinkToFit="0" readingOrder="0"/>
      <protection locked="1" hidden="1"/>
    </dxf>
    <dxf>
      <font>
        <strike val="0"/>
        <outline val="0"/>
        <shadow val="0"/>
        <vertAlign val="baseline"/>
        <sz val="10"/>
        <name val="Century Gothic"/>
        <family val="2"/>
        <scheme val="minor"/>
      </font>
      <numFmt numFmtId="174" formatCode="yyyy/mm/dd"/>
      <alignment horizontal="center" vertical="bottom" textRotation="0" wrapText="0" relativeIndent="0" justifyLastLine="0" shrinkToFit="0" readingOrder="0"/>
      <protection locked="1" hidden="1"/>
    </dxf>
    <dxf>
      <font>
        <strike val="0"/>
        <outline val="0"/>
        <shadow val="0"/>
        <vertAlign val="baseline"/>
        <sz val="10"/>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protection locked="1" hidden="1"/>
    </dxf>
    <dxf>
      <font>
        <strike val="0"/>
        <outline val="0"/>
        <shadow val="0"/>
        <vertAlign val="baseline"/>
        <sz val="10"/>
        <name val="Century Gothic"/>
        <family val="2"/>
        <scheme val="minor"/>
      </font>
      <numFmt numFmtId="174" formatCode="yyyy/mm/dd"/>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outline="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scheme val="minor"/>
      </font>
      <numFmt numFmtId="164"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scheme val="minor"/>
      </font>
      <numFmt numFmtId="0" formatCode="Genera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scheme val="minor"/>
      </font>
      <numFmt numFmtId="164" formatCode="_(* #,##0.00_);_(* \(#,##0.00\);_(* &quot;-&quot;??_);_(@_)"/>
      <protection locked="1" hidden="1"/>
    </dxf>
    <dxf>
      <font>
        <b val="0"/>
        <i val="0"/>
        <strike val="0"/>
        <condense val="0"/>
        <extend val="0"/>
        <outline val="0"/>
        <shadow val="0"/>
        <u val="none"/>
        <vertAlign val="baseline"/>
        <sz val="10"/>
        <color auto="1"/>
        <name val="Century Gothic"/>
        <scheme val="minor"/>
      </font>
      <numFmt numFmtId="164" formatCode="_(* #,##0.00_);_(* \(#,##0.00\);_(* &quot;-&quot;??_);_(@_)"/>
      <protection locked="1" hidden="1"/>
    </dxf>
    <dxf>
      <font>
        <b val="0"/>
        <i val="0"/>
        <strike val="0"/>
        <condense val="0"/>
        <extend val="0"/>
        <outline val="0"/>
        <shadow val="0"/>
        <u val="none"/>
        <vertAlign val="baseline"/>
        <sz val="10"/>
        <color auto="1"/>
        <name val="Century Gothic"/>
        <scheme val="minor"/>
      </font>
      <numFmt numFmtId="164" formatCode="_(* #,##0.00_);_(* \(#,##0.00\);_(* &quot;-&quot;??_);_(@_)"/>
      <protection locked="1" hidden="1"/>
    </dxf>
    <dxf>
      <font>
        <b val="0"/>
        <i val="0"/>
        <strike val="0"/>
        <condense val="0"/>
        <extend val="0"/>
        <outline val="0"/>
        <shadow val="0"/>
        <u val="none"/>
        <vertAlign val="baseline"/>
        <sz val="10"/>
        <color auto="1"/>
        <name val="Century Gothic"/>
        <scheme val="minor"/>
      </font>
      <numFmt numFmtId="164" formatCode="_(* #,##0.00_);_(* \(#,##0.00\);_(* &quot;-&quot;??_);_(@_)"/>
      <protection locked="1" hidden="1"/>
    </dxf>
    <dxf>
      <font>
        <b val="0"/>
        <i val="0"/>
        <strike val="0"/>
        <condense val="0"/>
        <extend val="0"/>
        <outline val="0"/>
        <shadow val="0"/>
        <u val="none"/>
        <vertAlign val="baseline"/>
        <sz val="10"/>
        <color auto="1"/>
        <name val="Century Gothic"/>
        <scheme val="minor"/>
      </font>
      <numFmt numFmtId="164" formatCode="_(* #,##0.00_);_(* \(#,##0.00\);_(* &quot;-&quot;??_);_(@_)"/>
      <alignment horizontal="center" vertical="bottom" textRotation="0" wrapText="0" indent="0" justifyLastLine="0" shrinkToFit="0" readingOrder="0"/>
      <protection locked="1" hidden="1"/>
    </dxf>
    <dxf>
      <font>
        <strike val="0"/>
        <outline val="0"/>
        <shadow val="0"/>
        <vertAlign val="baseline"/>
        <sz val="10"/>
        <name val="Century Gothic"/>
        <scheme val="minor"/>
      </font>
      <numFmt numFmtId="174" formatCode="yyyy/mm/dd"/>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scheme val="minor"/>
      </font>
      <alignment horizontal="center" vertical="bottom" textRotation="0" wrapText="0" indent="0" justifyLastLine="0" shrinkToFit="0" readingOrder="0"/>
      <protection locked="1" hidden="1"/>
    </dxf>
    <dxf>
      <font>
        <strike val="0"/>
        <outline val="0"/>
        <shadow val="0"/>
        <vertAlign val="baseline"/>
        <sz val="10"/>
        <name val="Century Gothic"/>
        <scheme val="minor"/>
      </font>
      <alignment horizontal="center" vertical="bottom" textRotation="0" wrapText="0" relativeIndent="0" justifyLastLine="0" shrinkToFit="0" readingOrder="0"/>
      <protection locked="1" hidden="1"/>
    </dxf>
    <dxf>
      <font>
        <strike val="0"/>
        <outline val="0"/>
        <shadow val="0"/>
        <vertAlign val="baseline"/>
        <sz val="10"/>
        <name val="Century Gothic"/>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scheme val="minor"/>
      </font>
      <alignment horizontal="center" vertical="bottom" textRotation="0" wrapText="0" indent="0" justifyLastLine="0" shrinkToFit="0" readingOrder="0"/>
      <protection locked="1" hidden="1"/>
    </dxf>
    <dxf>
      <font>
        <strike val="0"/>
        <outline val="0"/>
        <shadow val="0"/>
        <vertAlign val="baseline"/>
        <sz val="10"/>
        <name val="Century Gothic"/>
        <scheme val="minor"/>
      </font>
      <alignment horizontal="center" vertical="bottom" textRotation="0" wrapText="0" relativeIndent="0" justifyLastLine="0" shrinkToFit="0" readingOrder="0"/>
      <protection locked="1" hidden="1"/>
    </dxf>
    <dxf>
      <font>
        <strike val="0"/>
        <outline val="0"/>
        <shadow val="0"/>
        <vertAlign val="baseline"/>
        <sz val="10"/>
        <name val="Century Gothic"/>
        <scheme val="minor"/>
      </font>
      <protection locked="1" hidden="1"/>
    </dxf>
    <dxf>
      <font>
        <strike val="0"/>
        <outline val="0"/>
        <shadow val="0"/>
        <vertAlign val="baseline"/>
        <sz val="10"/>
        <name val="Century Gothic"/>
        <scheme val="minor"/>
      </font>
      <protection locked="1" hidden="1"/>
    </dxf>
    <dxf>
      <font>
        <strike val="0"/>
        <outline val="0"/>
        <shadow val="0"/>
        <vertAlign val="baseline"/>
        <sz val="10"/>
        <name val="Century Gothic"/>
        <scheme val="minor"/>
      </font>
      <alignment horizontal="left" vertical="bottom" textRotation="0" wrapText="0" relativeIndent="0" justifyLastLine="0" shrinkToFit="0" readingOrder="0"/>
      <protection locked="1" hidden="1"/>
    </dxf>
    <dxf>
      <font>
        <strike val="0"/>
        <outline val="0"/>
        <shadow val="0"/>
        <vertAlign val="baseline"/>
        <sz val="10"/>
        <name val="Century Gothic"/>
        <scheme val="minor"/>
      </font>
      <numFmt numFmtId="174" formatCode="yyyy/mm/dd"/>
      <alignment horizontal="center" vertical="bottom" textRotation="0" wrapText="0" relativeIndent="0" justifyLastLine="0" shrinkToFit="0" readingOrder="0"/>
      <protection locked="1" hidden="1"/>
    </dxf>
    <dxf>
      <font>
        <strike val="0"/>
        <outline val="0"/>
        <shadow val="0"/>
        <vertAlign val="baseline"/>
        <sz val="10"/>
        <name val="Century Gothic"/>
        <scheme val="minor"/>
      </font>
      <numFmt numFmtId="0" formatCode="General"/>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numFmt numFmtId="164" formatCode="_(* #,##0.00_);_(* \(#,##0.00\);_(* &quot;-&quot;??_);_(@_)"/>
      <fill>
        <patternFill patternType="none">
          <fgColor indexed="64"/>
          <bgColor auto="1"/>
        </patternFill>
      </fill>
      <alignment horizontal="left" vertical="bottom" textRotation="0" wrapText="0" relativeIndent="0" justifyLastLine="0" shrinkToFit="0" readingOrder="0"/>
      <border diagonalUp="0" diagonalDown="0">
        <left style="thin">
          <color rgb="FFC0C0C0"/>
        </left>
        <right/>
        <top/>
        <bottom/>
        <vertical/>
        <horizontal/>
      </border>
      <protection locked="1" hidden="1"/>
    </dxf>
    <dxf>
      <font>
        <strike val="0"/>
        <outline val="0"/>
        <shadow val="0"/>
        <u val="none"/>
        <vertAlign val="baseline"/>
        <sz val="10"/>
        <name val="Century Gothic"/>
        <scheme val="minor"/>
      </font>
      <fill>
        <patternFill patternType="none">
          <fgColor indexed="64"/>
          <bgColor auto="1"/>
        </patternFill>
      </fill>
      <alignment horizontal="center" vertical="bottom" textRotation="0" wrapText="0" indent="0" justifyLastLine="0" shrinkToFit="0" readingOrder="0"/>
      <border diagonalUp="0" diagonalDown="0">
        <left/>
        <right style="thin">
          <color rgb="FFC0C0C0"/>
        </right>
        <top/>
        <bottom/>
      </border>
      <protection locked="1" hidden="1"/>
    </dxf>
    <dxf>
      <font>
        <strike val="0"/>
        <outline val="0"/>
        <shadow val="0"/>
        <u val="none"/>
        <vertAlign val="baseline"/>
        <sz val="10"/>
        <name val="Century Gothic"/>
        <scheme val="minor"/>
      </font>
      <fill>
        <patternFill patternType="none">
          <fgColor indexed="64"/>
          <bgColor auto="1"/>
        </patternFill>
      </fill>
      <alignment horizontal="left" vertical="bottom" textRotation="0" wrapText="0" relativeIndent="0" justifyLastLine="0" shrinkToFit="0" readingOrder="0"/>
      <protection locked="1" hidden="1"/>
    </dxf>
    <dxf>
      <font>
        <strike val="0"/>
        <outline val="0"/>
        <shadow val="0"/>
        <u val="none"/>
        <vertAlign val="baseline"/>
        <sz val="10"/>
        <name val="Century Gothic"/>
        <scheme val="minor"/>
      </font>
      <fill>
        <patternFill patternType="none">
          <fgColor indexed="64"/>
          <bgColor auto="1"/>
        </patternFill>
      </fill>
      <protection locked="1" hidden="1"/>
    </dxf>
    <dxf>
      <font>
        <strike val="0"/>
        <outline val="0"/>
        <shadow val="0"/>
        <u val="none"/>
        <vertAlign val="baseline"/>
        <sz val="10"/>
        <name val="Century Gothic"/>
        <scheme val="minor"/>
      </font>
      <fill>
        <patternFill patternType="none">
          <fgColor indexed="64"/>
          <bgColor auto="1"/>
        </patternFill>
      </fill>
      <protection locked="1" hidden="1"/>
    </dxf>
    <dxf>
      <border outline="0">
        <top style="thin">
          <color indexed="64"/>
        </top>
      </border>
    </dxf>
    <dxf>
      <font>
        <strike val="0"/>
        <outline val="0"/>
        <shadow val="0"/>
        <u val="none"/>
        <vertAlign val="baseline"/>
        <sz val="10"/>
        <name val="Century Gothic"/>
        <scheme val="minor"/>
      </font>
      <numFmt numFmtId="0" formatCode="General"/>
      <fill>
        <patternFill patternType="none">
          <fgColor indexed="64"/>
          <bgColor auto="1"/>
        </patternFill>
      </fill>
      <alignment horizontal="left" vertical="bottom" textRotation="0" wrapText="0" relativeIndent="0" justifyLastLine="0" shrinkToFit="0" readingOrder="0"/>
      <border diagonalUp="0" diagonalDown="0">
        <right style="thin">
          <color indexed="64"/>
        </right>
        <top/>
        <bottom/>
      </border>
      <protection locked="1" hidden="1"/>
    </dxf>
    <dxf>
      <border>
        <bottom style="thin">
          <color indexed="64"/>
        </bottom>
      </border>
    </dxf>
    <dxf>
      <font>
        <b/>
        <i val="0"/>
        <strike val="0"/>
        <condense val="0"/>
        <extend val="0"/>
        <outline val="0"/>
        <shadow val="0"/>
        <u val="none"/>
        <vertAlign val="baseline"/>
        <sz val="10"/>
        <color theme="1"/>
        <name val="Century Gothic"/>
        <scheme val="minor"/>
      </font>
      <numFmt numFmtId="0" formatCode="General"/>
      <fill>
        <patternFill patternType="solid">
          <fgColor indexed="64"/>
          <bgColor indexed="43"/>
        </patternFill>
      </fill>
      <alignment horizontal="left" vertical="center"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0000"/>
        </patternFill>
      </fill>
    </dxf>
    <dxf>
      <font>
        <b/>
        <i val="0"/>
        <color theme="0"/>
      </font>
      <fill>
        <patternFill>
          <bgColor rgb="FFFF0000"/>
        </patternFill>
      </fill>
      <border>
        <left style="thin">
          <color theme="0"/>
        </left>
        <right style="thin">
          <color theme="0"/>
        </right>
        <top style="thin">
          <color theme="0"/>
        </top>
        <bottom style="thin">
          <color theme="0"/>
        </bottom>
        <vertical/>
        <horizontal/>
      </border>
    </dxf>
  </dxfs>
  <tableStyles count="0" defaultTableStyle="TableStyleMedium9" defaultPivotStyle="PivotStyleLight16"/>
  <colors>
    <mruColors>
      <color rgb="FFFFFF99"/>
      <color rgb="FFFF6600"/>
      <color rgb="FFCCFFFF"/>
      <color rgb="FFC0C0C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1"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excel-templates-accounting.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3143AF79-0F6B-43C1-AD5F-31E24073403D}"/>
            </a:ext>
          </a:extLst>
        </xdr:cNvPr>
        <xdr:cNvGrpSpPr/>
      </xdr:nvGrpSpPr>
      <xdr:grpSpPr>
        <a:xfrm>
          <a:off x="22860" y="22860"/>
          <a:ext cx="8962440" cy="4391700"/>
          <a:chOff x="17134" y="17145"/>
          <a:chExt cx="9252000" cy="3671610"/>
        </a:xfrm>
      </xdr:grpSpPr>
      <xdr:sp macro="" textlink="" fLocksText="0">
        <xdr:nvSpPr>
          <xdr:cNvPr id="5" name="Rectangle 1">
            <a:extLst>
              <a:ext uri="{FF2B5EF4-FFF2-40B4-BE49-F238E27FC236}">
                <a16:creationId xmlns:a16="http://schemas.microsoft.com/office/drawing/2014/main" id="{6AB639B2-DA32-4424-BB2A-F443109DEDDC}"/>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4A613684-FB34-43E8-AABD-3214FD99CC6C}"/>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5571068B-6A97-4E74-90CF-AEE611B60FD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9</xdr:col>
      <xdr:colOff>276225</xdr:colOff>
      <xdr:row>1</xdr:row>
      <xdr:rowOff>1</xdr:rowOff>
    </xdr:from>
    <xdr:to>
      <xdr:col>13</xdr:col>
      <xdr:colOff>1002632</xdr:colOff>
      <xdr:row>11</xdr:row>
      <xdr:rowOff>8021</xdr:rowOff>
    </xdr:to>
    <xdr:sp macro="" textlink="">
      <xdr:nvSpPr>
        <xdr:cNvPr id="2" name="Rectangle 1">
          <a:extLst>
            <a:ext uri="{FF2B5EF4-FFF2-40B4-BE49-F238E27FC236}">
              <a16:creationId xmlns:a16="http://schemas.microsoft.com/office/drawing/2014/main" id="{281E3FFA-C63D-460C-8D4B-DB06A819F9E9}"/>
            </a:ext>
          </a:extLst>
        </xdr:cNvPr>
        <xdr:cNvSpPr>
          <a:spLocks noChangeArrowheads="1"/>
        </xdr:cNvSpPr>
      </xdr:nvSpPr>
      <xdr:spPr bwMode="auto">
        <a:xfrm>
          <a:off x="7206414" y="136359"/>
          <a:ext cx="5025692" cy="2013283"/>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twoCellAnchor editAs="absolute">
    <xdr:from>
      <xdr:col>1</xdr:col>
      <xdr:colOff>133350</xdr:colOff>
      <xdr:row>1</xdr:row>
      <xdr:rowOff>85725</xdr:rowOff>
    </xdr:from>
    <xdr:to>
      <xdr:col>7</xdr:col>
      <xdr:colOff>1035711</xdr:colOff>
      <xdr:row>6</xdr:row>
      <xdr:rowOff>74196</xdr:rowOff>
    </xdr:to>
    <xdr:sp macro="" textlink="">
      <xdr:nvSpPr>
        <xdr:cNvPr id="4" name="Rectangle 1">
          <a:extLst>
            <a:ext uri="{FF2B5EF4-FFF2-40B4-BE49-F238E27FC236}">
              <a16:creationId xmlns:a16="http://schemas.microsoft.com/office/drawing/2014/main" id="{6FFA3F1B-1ED5-4997-9508-906AC355992D}"/>
            </a:ext>
          </a:extLst>
        </xdr:cNvPr>
        <xdr:cNvSpPr>
          <a:spLocks noChangeArrowheads="1"/>
        </xdr:cNvSpPr>
      </xdr:nvSpPr>
      <xdr:spPr bwMode="auto">
        <a:xfrm>
          <a:off x="245645" y="222083"/>
          <a:ext cx="6480000" cy="991102"/>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oneCellAnchor>
    <xdr:from>
      <xdr:col>9</xdr:col>
      <xdr:colOff>368970</xdr:colOff>
      <xdr:row>1</xdr:row>
      <xdr:rowOff>160421</xdr:rowOff>
    </xdr:from>
    <xdr:ext cx="4820652" cy="1692982"/>
    <xdr:sp macro="" textlink="">
      <xdr:nvSpPr>
        <xdr:cNvPr id="5" name="Rectangle 17">
          <a:extLst>
            <a:ext uri="{FF2B5EF4-FFF2-40B4-BE49-F238E27FC236}">
              <a16:creationId xmlns:a16="http://schemas.microsoft.com/office/drawing/2014/main" id="{9BDC5955-85E2-4CBC-AEDB-C853A43576B5}"/>
            </a:ext>
          </a:extLst>
        </xdr:cNvPr>
        <xdr:cNvSpPr>
          <a:spLocks noChangeArrowheads="1"/>
        </xdr:cNvSpPr>
      </xdr:nvSpPr>
      <xdr:spPr bwMode="auto">
        <a:xfrm>
          <a:off x="7299159" y="296779"/>
          <a:ext cx="482065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customer statement is also automatically compiled based on the data entered on the Income and Customers sheets. The only user input required is selecting a customer code and entering a statement date. The sheet accommodates 30 lines of outstanding invoices which can easily be increased and also provides for the inclusion of your business logo at the top of the sheet.</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oneCellAnchor>
    <xdr:from>
      <xdr:col>12</xdr:col>
      <xdr:colOff>102270</xdr:colOff>
      <xdr:row>25</xdr:row>
      <xdr:rowOff>62235</xdr:rowOff>
    </xdr:from>
    <xdr:ext cx="7892715" cy="2077703"/>
    <xdr:sp macro="" textlink="">
      <xdr:nvSpPr>
        <xdr:cNvPr id="3" name="Rectangle 17">
          <a:extLst>
            <a:ext uri="{FF2B5EF4-FFF2-40B4-BE49-F238E27FC236}">
              <a16:creationId xmlns:a16="http://schemas.microsoft.com/office/drawing/2014/main" id="{C078BF0B-B3A5-4E9E-A4B7-EB6321BAE859}"/>
            </a:ext>
          </a:extLst>
        </xdr:cNvPr>
        <xdr:cNvSpPr>
          <a:spLocks noChangeArrowheads="1"/>
        </xdr:cNvSpPr>
      </xdr:nvSpPr>
      <xdr:spPr bwMode="auto">
        <a:xfrm>
          <a:off x="11592428" y="3792024"/>
          <a:ext cx="7892715"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expense transactions and cash payments in the columns with yellow column headings on this sheet. The columns with light blue column headings contain formulas which are automatically copied for all new transactions added to the table. All expense transactions are included in trade creditors &amp; expenses based on the document dates entered in column A. When an expense is paid, simply enter the payment date and the transaction amount is automatically removed from trade creditors and deducted from the appropriate bank balance. Sales tax codes, bank codes and account numbers can be selected from the drop-down lists in the appropriate columns. Outstanding balances can be displayed by simply entering the appropriate balance date at the top of the sheet.</a:t>
          </a:r>
        </a:p>
      </xdr:txBody>
    </xdr:sp>
    <xdr:clientData fLocksWithSheet="0" fPrintsWithSheet="0"/>
  </xdr:oneCellAnchor>
</xdr:wsDr>
</file>

<file path=xl/drawings/drawing12.xml><?xml version="1.0" encoding="utf-8"?>
<xdr:wsDr xmlns:xdr="http://schemas.openxmlformats.org/drawingml/2006/spreadsheetDrawing" xmlns:a="http://schemas.openxmlformats.org/drawingml/2006/main">
  <xdr:oneCellAnchor>
    <xdr:from>
      <xdr:col>6</xdr:col>
      <xdr:colOff>765556</xdr:colOff>
      <xdr:row>12</xdr:row>
      <xdr:rowOff>39394</xdr:rowOff>
    </xdr:from>
    <xdr:ext cx="6055895" cy="1692982"/>
    <xdr:sp macro="" textlink="">
      <xdr:nvSpPr>
        <xdr:cNvPr id="3" name="Rectangle 17">
          <a:extLst>
            <a:ext uri="{FF2B5EF4-FFF2-40B4-BE49-F238E27FC236}">
              <a16:creationId xmlns:a16="http://schemas.microsoft.com/office/drawing/2014/main" id="{BC6D2E1B-1A16-4A20-B45D-5BFBCF7801A0}"/>
            </a:ext>
          </a:extLst>
        </xdr:cNvPr>
        <xdr:cNvSpPr>
          <a:spLocks noChangeArrowheads="1"/>
        </xdr:cNvSpPr>
      </xdr:nvSpPr>
      <xdr:spPr bwMode="auto">
        <a:xfrm>
          <a:off x="7857351" y="2056962"/>
          <a:ext cx="6055895"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income statement is automatically compiled based on the transactions entered on the Income and Expenses sheets. No user input is required on this sheet. The monthly reporting periods are determined based on the reporting year specified on the Setup sheet and includes 12 monthly periods. Additional accounts can be added and the key in column A determines whether individual account balances or account group totals are displayed.</a:t>
          </a:r>
        </a:p>
      </xdr:txBody>
    </xdr:sp>
    <xdr:clientData fLocksWithSheet="0" fPrintsWithSheet="0"/>
  </xdr:oneCellAnchor>
</xdr:wsDr>
</file>

<file path=xl/drawings/drawing13.xml><?xml version="1.0" encoding="utf-8"?>
<xdr:wsDr xmlns:xdr="http://schemas.openxmlformats.org/drawingml/2006/spreadsheetDrawing" xmlns:a="http://schemas.openxmlformats.org/drawingml/2006/main">
  <xdr:oneCellAnchor>
    <xdr:from>
      <xdr:col>16</xdr:col>
      <xdr:colOff>156412</xdr:colOff>
      <xdr:row>11</xdr:row>
      <xdr:rowOff>15752</xdr:rowOff>
    </xdr:from>
    <xdr:ext cx="4748462" cy="1115901"/>
    <xdr:sp macro="" textlink="">
      <xdr:nvSpPr>
        <xdr:cNvPr id="4" name="Rectangle 17">
          <a:extLst>
            <a:ext uri="{FF2B5EF4-FFF2-40B4-BE49-F238E27FC236}">
              <a16:creationId xmlns:a16="http://schemas.microsoft.com/office/drawing/2014/main" id="{EC61D2EF-EE9D-4C4D-8155-811FE4FAB154}"/>
            </a:ext>
          </a:extLst>
        </xdr:cNvPr>
        <xdr:cNvSpPr>
          <a:spLocks noChangeArrowheads="1"/>
        </xdr:cNvSpPr>
      </xdr:nvSpPr>
      <xdr:spPr bwMode="auto">
        <a:xfrm>
          <a:off x="17000623" y="2251620"/>
          <a:ext cx="4748462" cy="111590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cash flow statement is automatically compiled based on the automated income statement and balance sheet balances. No user input is required on this sheet.</a:t>
          </a:r>
        </a:p>
      </xdr:txBody>
    </xdr:sp>
    <xdr:clientData fLocksWithSheet="0" fPrintsWithSheet="0"/>
  </xdr:oneCellAnchor>
</xdr:wsDr>
</file>

<file path=xl/drawings/drawing14.xml><?xml version="1.0" encoding="utf-8"?>
<xdr:wsDr xmlns:xdr="http://schemas.openxmlformats.org/drawingml/2006/spreadsheetDrawing" xmlns:a="http://schemas.openxmlformats.org/drawingml/2006/main">
  <xdr:oneCellAnchor>
    <xdr:from>
      <xdr:col>17</xdr:col>
      <xdr:colOff>46124</xdr:colOff>
      <xdr:row>13</xdr:row>
      <xdr:rowOff>92097</xdr:rowOff>
    </xdr:from>
    <xdr:ext cx="5285872" cy="1500622"/>
    <xdr:sp macro="" textlink="">
      <xdr:nvSpPr>
        <xdr:cNvPr id="3" name="Rectangle 17">
          <a:extLst>
            <a:ext uri="{FF2B5EF4-FFF2-40B4-BE49-F238E27FC236}">
              <a16:creationId xmlns:a16="http://schemas.microsoft.com/office/drawing/2014/main" id="{9009F825-A9C1-49CE-B8BC-C8806B7E66EE}"/>
            </a:ext>
          </a:extLst>
        </xdr:cNvPr>
        <xdr:cNvSpPr>
          <a:spLocks noChangeArrowheads="1"/>
        </xdr:cNvSpPr>
      </xdr:nvSpPr>
      <xdr:spPr bwMode="auto">
        <a:xfrm>
          <a:off x="17552071" y="2729018"/>
          <a:ext cx="528587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balance sheet is automatically calculated based on the transactions entered on the Income and Expenses sheets. No user input is required on this sheet. Balance sheet balances are calculated based on account groups by default but can also be included individually by changing the key in column A.</a:t>
          </a:r>
        </a:p>
      </xdr:txBody>
    </xdr:sp>
    <xdr:clientData fLocksWithSheet="0" fPrintsWithSheet="0"/>
  </xdr:oneCellAnchor>
</xdr:wsDr>
</file>

<file path=xl/drawings/drawing15.xml><?xml version="1.0" encoding="utf-8"?>
<xdr:wsDr xmlns:xdr="http://schemas.openxmlformats.org/drawingml/2006/spreadsheetDrawing" xmlns:a="http://schemas.openxmlformats.org/drawingml/2006/main">
  <xdr:oneCellAnchor>
    <xdr:from>
      <xdr:col>12</xdr:col>
      <xdr:colOff>8021</xdr:colOff>
      <xdr:row>8</xdr:row>
      <xdr:rowOff>198231</xdr:rowOff>
    </xdr:from>
    <xdr:ext cx="5390148" cy="1115901"/>
    <xdr:sp macro="" textlink="">
      <xdr:nvSpPr>
        <xdr:cNvPr id="3" name="Rectangle 17">
          <a:extLst>
            <a:ext uri="{FF2B5EF4-FFF2-40B4-BE49-F238E27FC236}">
              <a16:creationId xmlns:a16="http://schemas.microsoft.com/office/drawing/2014/main" id="{227D1D7B-9F97-4B77-A63A-7D7578EC2687}"/>
            </a:ext>
          </a:extLst>
        </xdr:cNvPr>
        <xdr:cNvSpPr>
          <a:spLocks noChangeArrowheads="1"/>
        </xdr:cNvSpPr>
      </xdr:nvSpPr>
      <xdr:spPr bwMode="auto">
        <a:xfrm>
          <a:off x="11518232" y="1862599"/>
          <a:ext cx="5390148" cy="111590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an analysis of bank account movements on a daily &amp; monthly basis. The appropriate bank account and month can be selected at the top of the sheet and all other calculations are automated.</a:t>
          </a:r>
        </a:p>
      </xdr:txBody>
    </xdr:sp>
    <xdr:clientData fLocksWithSheet="0" fPrintsWithSheet="0"/>
  </xdr:oneCellAnchor>
</xdr:wsDr>
</file>

<file path=xl/drawings/drawing16.xml><?xml version="1.0" encoding="utf-8"?>
<xdr:wsDr xmlns:xdr="http://schemas.openxmlformats.org/drawingml/2006/spreadsheetDrawing" xmlns:a="http://schemas.openxmlformats.org/drawingml/2006/main">
  <xdr:oneCellAnchor>
    <xdr:from>
      <xdr:col>2</xdr:col>
      <xdr:colOff>336886</xdr:colOff>
      <xdr:row>17</xdr:row>
      <xdr:rowOff>112077</xdr:rowOff>
    </xdr:from>
    <xdr:ext cx="6320588" cy="1308261"/>
    <xdr:sp macro="" textlink="">
      <xdr:nvSpPr>
        <xdr:cNvPr id="4" name="Rectangle 17">
          <a:extLst>
            <a:ext uri="{FF2B5EF4-FFF2-40B4-BE49-F238E27FC236}">
              <a16:creationId xmlns:a16="http://schemas.microsoft.com/office/drawing/2014/main" id="{1A945642-A7C0-4890-90E0-4C450CBFA807}"/>
            </a:ext>
          </a:extLst>
        </xdr:cNvPr>
        <xdr:cNvSpPr>
          <a:spLocks noChangeArrowheads="1"/>
        </xdr:cNvSpPr>
      </xdr:nvSpPr>
      <xdr:spPr bwMode="auto">
        <a:xfrm>
          <a:off x="2630907" y="3585193"/>
          <a:ext cx="6320588"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monthly sales tax analysis. All the calculations are automated. You can select the tax type and any of the individual sales tax codes at the top of the sheet to view the output and input values for any tax type or tax code. The template provides for two default tax types for national or federal sales tax and state sales tax.</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8FB2D430-533B-47D8-93C5-BB6DD80279D6}"/>
            </a:ext>
          </a:extLst>
        </xdr:cNvPr>
        <xdr:cNvGrpSpPr/>
      </xdr:nvGrpSpPr>
      <xdr:grpSpPr>
        <a:xfrm>
          <a:off x="22860" y="22860"/>
          <a:ext cx="8962440" cy="4391700"/>
          <a:chOff x="17134" y="17145"/>
          <a:chExt cx="9252000" cy="3671610"/>
        </a:xfrm>
      </xdr:grpSpPr>
      <xdr:sp macro="" textlink="" fLocksText="0">
        <xdr:nvSpPr>
          <xdr:cNvPr id="5" name="Rectangle 1">
            <a:extLst>
              <a:ext uri="{FF2B5EF4-FFF2-40B4-BE49-F238E27FC236}">
                <a16:creationId xmlns:a16="http://schemas.microsoft.com/office/drawing/2014/main" id="{3DCFED69-B993-4631-9DB5-DA79162EDB2A}"/>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ACCOUNTING - SERVICE BASED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Our service based accounting template enables users to record income &amp; expenses and automatically produces a trial balance, income statement, cash flow statement and balance sheet. The template also includes an automated invoice, customer statement and customer age analysis. The default accounts can be customized and an unlimited number of additional accounts can be added. It also accommodates sales tax calculations and multiple bank accounts. After completing the initial template setup, the template can be rolled forward or back by simply changing the reporting year in a single input cell.</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22CC2B7A-D3B9-4E63-B6FB-AC4424FB55DD}"/>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F9579B2D-79E5-4A4D-B8B5-661EA8E857B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A2E7680D-12FE-4F9A-9050-358CAF613A5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182880</xdr:colOff>
      <xdr:row>4</xdr:row>
      <xdr:rowOff>218100</xdr:rowOff>
    </xdr:from>
    <xdr:ext cx="2811780" cy="1114490"/>
    <xdr:sp macro="" textlink="">
      <xdr:nvSpPr>
        <xdr:cNvPr id="10" name="Rectangle 17">
          <a:extLst>
            <a:ext uri="{FF2B5EF4-FFF2-40B4-BE49-F238E27FC236}">
              <a16:creationId xmlns:a16="http://schemas.microsoft.com/office/drawing/2014/main" id="{AE242197-9E04-4736-A66B-B96D3782F987}"/>
            </a:ext>
          </a:extLst>
        </xdr:cNvPr>
        <xdr:cNvSpPr>
          <a:spLocks noChangeArrowheads="1"/>
        </xdr:cNvSpPr>
      </xdr:nvSpPr>
      <xdr:spPr bwMode="auto">
        <a:xfrm>
          <a:off x="7711440" y="964860"/>
          <a:ext cx="281178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20051</xdr:colOff>
      <xdr:row>5</xdr:row>
      <xdr:rowOff>4228</xdr:rowOff>
    </xdr:from>
    <xdr:ext cx="6849979" cy="1885342"/>
    <xdr:sp macro="" textlink="">
      <xdr:nvSpPr>
        <xdr:cNvPr id="3" name="Rectangle 17">
          <a:extLst>
            <a:ext uri="{FF2B5EF4-FFF2-40B4-BE49-F238E27FC236}">
              <a16:creationId xmlns:a16="http://schemas.microsoft.com/office/drawing/2014/main" id="{0A46691D-A76F-4390-B727-FF05C3CC3C30}"/>
            </a:ext>
          </a:extLst>
        </xdr:cNvPr>
        <xdr:cNvSpPr>
          <a:spLocks noChangeArrowheads="1"/>
        </xdr:cNvSpPr>
      </xdr:nvSpPr>
      <xdr:spPr bwMode="auto">
        <a:xfrm>
          <a:off x="9214183" y="1006860"/>
          <a:ext cx="6849979"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&amp; banking details and maintain sales tax percentages &amp; bank codes. You can also add an unlimited number of sales tax codes and bank account codes. Specify the first financial year that you want to include in the template and set your year-end and reporting year. The 12-month reporting period included on the monthly income statement, cash flow statement and balance sheet is determined by the reporting year specified which means that the template can be rolled forward or back by simply changing the reporting year. All the template calculations are then automatically updated.</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8</xdr:col>
      <xdr:colOff>36096</xdr:colOff>
      <xdr:row>4</xdr:row>
      <xdr:rowOff>41893</xdr:rowOff>
    </xdr:from>
    <xdr:ext cx="5759116" cy="1308261"/>
    <xdr:sp macro="" textlink="">
      <xdr:nvSpPr>
        <xdr:cNvPr id="3" name="Rectangle 17">
          <a:extLst>
            <a:ext uri="{FF2B5EF4-FFF2-40B4-BE49-F238E27FC236}">
              <a16:creationId xmlns:a16="http://schemas.microsoft.com/office/drawing/2014/main" id="{FE83756A-B538-4EDC-940A-CB38150D6033}"/>
            </a:ext>
          </a:extLst>
        </xdr:cNvPr>
        <xdr:cNvSpPr>
          <a:spLocks noChangeArrowheads="1"/>
        </xdr:cNvSpPr>
      </xdr:nvSpPr>
      <xdr:spPr bwMode="auto">
        <a:xfrm>
          <a:off x="7465596" y="964314"/>
          <a:ext cx="5759116"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the default list of account groups that are used in this template. You can customize the descriptions of the account groups but we do not recommend changing the account group keys. Additional account groups can be added as detailed in the template instructions.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10</xdr:col>
      <xdr:colOff>54142</xdr:colOff>
      <xdr:row>5</xdr:row>
      <xdr:rowOff>18120</xdr:rowOff>
    </xdr:from>
    <xdr:ext cx="6849979" cy="2077703"/>
    <xdr:sp macro="" textlink="">
      <xdr:nvSpPr>
        <xdr:cNvPr id="3" name="Rectangle 17">
          <a:extLst>
            <a:ext uri="{FF2B5EF4-FFF2-40B4-BE49-F238E27FC236}">
              <a16:creationId xmlns:a16="http://schemas.microsoft.com/office/drawing/2014/main" id="{90F19A44-F415-4561-B7CA-97C6F91A2D84}"/>
            </a:ext>
          </a:extLst>
        </xdr:cNvPr>
        <xdr:cNvSpPr>
          <a:spLocks noChangeArrowheads="1"/>
        </xdr:cNvSpPr>
      </xdr:nvSpPr>
      <xdr:spPr bwMode="auto">
        <a:xfrm>
          <a:off x="11714747" y="1141067"/>
          <a:ext cx="6849979" cy="2077703"/>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opening balance sheet balances should be entered in column C on this sheet. A trial balance at the end of the year before the first financial year set on the Setup sheet should be used for this purpose. Note that the Bank, Trade Debtors and Trade Creditors opening balances are calculated and therefore need to be included on the Income and Expenses sheets. The default list of accounts can be customized by adding additional accounts to the list, changing the descriptions of existing accounts or deleting accounts. The sheet also contains a detailed trial balance which can be displayed for any of the appropriate monthly periods by simply selecting the appropriate month end at the top of the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254668</xdr:colOff>
      <xdr:row>13</xdr:row>
      <xdr:rowOff>100263</xdr:rowOff>
    </xdr:from>
    <xdr:ext cx="6529137" cy="1500622"/>
    <xdr:sp macro="" textlink="">
      <xdr:nvSpPr>
        <xdr:cNvPr id="3" name="Rectangle 17">
          <a:extLst>
            <a:ext uri="{FF2B5EF4-FFF2-40B4-BE49-F238E27FC236}">
              <a16:creationId xmlns:a16="http://schemas.microsoft.com/office/drawing/2014/main" id="{86B926F0-30CE-4926-99F5-3DF622744BB6}"/>
            </a:ext>
          </a:extLst>
        </xdr:cNvPr>
        <xdr:cNvSpPr>
          <a:spLocks noChangeArrowheads="1"/>
        </xdr:cNvSpPr>
      </xdr:nvSpPr>
      <xdr:spPr bwMode="auto">
        <a:xfrm>
          <a:off x="6902115" y="2827421"/>
          <a:ext cx="6529137"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customer codes for all customers and enter the billing details for each customer. The customer codes created on this sheet are included in a list box on the Income sheet and the billing details are automatically included on the tax invoice &amp; customer statement. The outstanding balances and ageing of balances are automatically calculated based on a user defined balance date entered at the top of the sheet.</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20</xdr:col>
      <xdr:colOff>20553</xdr:colOff>
      <xdr:row>8</xdr:row>
      <xdr:rowOff>8855</xdr:rowOff>
    </xdr:from>
    <xdr:ext cx="9023685" cy="1885342"/>
    <xdr:sp macro="" textlink="">
      <xdr:nvSpPr>
        <xdr:cNvPr id="3" name="Rectangle 17">
          <a:extLst>
            <a:ext uri="{FF2B5EF4-FFF2-40B4-BE49-F238E27FC236}">
              <a16:creationId xmlns:a16="http://schemas.microsoft.com/office/drawing/2014/main" id="{936C954B-3917-4459-8A7F-0DC90E157005}"/>
            </a:ext>
          </a:extLst>
        </xdr:cNvPr>
        <xdr:cNvSpPr>
          <a:spLocks noChangeArrowheads="1"/>
        </xdr:cNvSpPr>
      </xdr:nvSpPr>
      <xdr:spPr bwMode="auto">
        <a:xfrm>
          <a:off x="18872116" y="1723355"/>
          <a:ext cx="9023685"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sales transactions and cash receipts in the columns with yellow column headings on this sheet. The columns with light blue column headings contain formulas which are automatically copied for all new transactions added to the table. All income transactions are included in trade debtors &amp; income based on the invoice dates entered in column B. When an invoice is paid by the customer, simply enter the payment amount &amp; payment date and the transaction amount  is automatically removed from trade debtors and included in the appropriate bank balance. Customer codes, sales tax codes, bank codes and account numbers can be selected from the drop-down lists in the appropriate columns. Outstanding balances can be displayed by simply entering the appropriate balance date at the top of the sheet.</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twoCellAnchor editAs="absolute">
    <xdr:from>
      <xdr:col>9</xdr:col>
      <xdr:colOff>91232</xdr:colOff>
      <xdr:row>0</xdr:row>
      <xdr:rowOff>123824</xdr:rowOff>
    </xdr:from>
    <xdr:to>
      <xdr:col>13</xdr:col>
      <xdr:colOff>232602</xdr:colOff>
      <xdr:row>10</xdr:row>
      <xdr:rowOff>88231</xdr:rowOff>
    </xdr:to>
    <xdr:sp macro="" textlink="">
      <xdr:nvSpPr>
        <xdr:cNvPr id="2" name="Rectangle 1">
          <a:extLst>
            <a:ext uri="{FF2B5EF4-FFF2-40B4-BE49-F238E27FC236}">
              <a16:creationId xmlns:a16="http://schemas.microsoft.com/office/drawing/2014/main" id="{F1FC44A7-3A03-4CA0-98D0-EB6D63EFBB84}"/>
            </a:ext>
          </a:extLst>
        </xdr:cNvPr>
        <xdr:cNvSpPr>
          <a:spLocks noChangeArrowheads="1"/>
        </xdr:cNvSpPr>
      </xdr:nvSpPr>
      <xdr:spPr bwMode="auto">
        <a:xfrm>
          <a:off x="7647063" y="123824"/>
          <a:ext cx="4440655" cy="1905502"/>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twoCellAnchor editAs="absolute">
    <xdr:from>
      <xdr:col>1</xdr:col>
      <xdr:colOff>133350</xdr:colOff>
      <xdr:row>1</xdr:row>
      <xdr:rowOff>57150</xdr:rowOff>
    </xdr:from>
    <xdr:to>
      <xdr:col>7</xdr:col>
      <xdr:colOff>938462</xdr:colOff>
      <xdr:row>6</xdr:row>
      <xdr:rowOff>45621</xdr:rowOff>
    </xdr:to>
    <xdr:sp macro="" textlink="">
      <xdr:nvSpPr>
        <xdr:cNvPr id="4" name="Rectangle 1">
          <a:extLst>
            <a:ext uri="{FF2B5EF4-FFF2-40B4-BE49-F238E27FC236}">
              <a16:creationId xmlns:a16="http://schemas.microsoft.com/office/drawing/2014/main" id="{8C2B1241-DF8E-4345-8C61-1C36A7355D70}"/>
            </a:ext>
          </a:extLst>
        </xdr:cNvPr>
        <xdr:cNvSpPr>
          <a:spLocks noChangeArrowheads="1"/>
        </xdr:cNvSpPr>
      </xdr:nvSpPr>
      <xdr:spPr bwMode="auto">
        <a:xfrm>
          <a:off x="245645" y="193508"/>
          <a:ext cx="6989344" cy="991102"/>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oneCellAnchor>
    <xdr:from>
      <xdr:col>9</xdr:col>
      <xdr:colOff>269909</xdr:colOff>
      <xdr:row>1</xdr:row>
      <xdr:rowOff>80138</xdr:rowOff>
    </xdr:from>
    <xdr:ext cx="4229901" cy="1692982"/>
    <xdr:sp macro="" textlink="">
      <xdr:nvSpPr>
        <xdr:cNvPr id="5" name="Rectangle 17">
          <a:extLst>
            <a:ext uri="{FF2B5EF4-FFF2-40B4-BE49-F238E27FC236}">
              <a16:creationId xmlns:a16="http://schemas.microsoft.com/office/drawing/2014/main" id="{9314D465-768D-40DE-87D4-6B557217B883}"/>
            </a:ext>
          </a:extLst>
        </xdr:cNvPr>
        <xdr:cNvSpPr>
          <a:spLocks noChangeArrowheads="1"/>
        </xdr:cNvSpPr>
      </xdr:nvSpPr>
      <xdr:spPr bwMode="auto">
        <a:xfrm>
          <a:off x="6670709" y="216496"/>
          <a:ext cx="422990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tax invoice is automatically populated based on the data entered on the Income &amp; Customers sheets. The only user input required is entering the invoice number in cell D16. The sheet accommodates 20 lines per invoice and you can include your own logo in the section at the top of the template.</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Customer" displayName="Customer" ref="A4:K31" totalsRowShown="0" headerRowDxfId="65" dataDxfId="63" headerRowBorderDxfId="64" tableBorderDxfId="62">
  <autoFilter ref="A4:K31" xr:uid="{00000000-0009-0000-0100-000003000000}"/>
  <tableColumns count="11">
    <tableColumn id="1" xr3:uid="{00000000-0010-0000-0000-000001000000}" name="Code" dataDxfId="61"/>
    <tableColumn id="2" xr3:uid="{00000000-0010-0000-0000-000002000000}" name="Billing Name" dataDxfId="60"/>
    <tableColumn id="3" xr3:uid="{00000000-0010-0000-0000-000003000000}" name="Billing Address" dataDxfId="59"/>
    <tableColumn id="8" xr3:uid="{00000000-0010-0000-0000-000008000000}" name="Sales Tax Number" dataDxfId="58"/>
    <tableColumn id="4" xr3:uid="{00000000-0010-0000-0000-000004000000}" name="Outstanding Balance" dataDxfId="57" dataCellStyle="Comma">
      <calculatedColumnFormula>SUMIFS(IncIncl,IncDocDate,"&lt;="&amp;$F$2,IncCus,$A5)-SUMIFS(IncPayAmount,IncDocDate,"&lt;="&amp;$F$2,IncPayDate,"&lt;="&amp;$F$2,IncCus,$A5)</calculatedColumnFormula>
    </tableColumn>
    <tableColumn id="5" xr3:uid="{00000000-0010-0000-0000-000005000000}" name="Current" dataDxfId="56" dataCellStyle="Comma">
      <calculatedColumnFormula>SUMIFS(IncIncl,IncDocDate,"&lt;="&amp;F$2,IncDocDate,"&gt;"&amp;F$1,IncCus,$A5)-SUMIFS(IncPayAmount,IncDocDate,"&lt;="&amp;F$2,IncDocDate,"&gt;"&amp;F$1,IncPayDate,"&lt;="&amp;$F$2,IncCus,$A5)</calculatedColumnFormula>
    </tableColumn>
    <tableColumn id="6" xr3:uid="{00000000-0010-0000-0000-000006000000}" name="30 Days" dataDxfId="55" dataCellStyle="Comma">
      <calculatedColumnFormula>SUMIFS(IncIncl,IncDocDate,"&lt;="&amp;G$2,IncDocDate,"&gt;"&amp;G$1,IncCus,$A5)-SUMIFS(IncPayAmount,IncDocDate,"&lt;="&amp;G$2,IncDocDate,"&gt;"&amp;G$1,IncPayDate,"&lt;="&amp;$F$2,IncCus,$A5)</calculatedColumnFormula>
    </tableColumn>
    <tableColumn id="7" xr3:uid="{00000000-0010-0000-0000-000007000000}" name="60 Days" dataDxfId="54" dataCellStyle="Comma">
      <calculatedColumnFormula>SUMIFS(IncIncl,IncDocDate,"&lt;="&amp;H$2,IncDocDate,"&gt;"&amp;H$1,IncCus,$A5)-SUMIFS(IncPayAmount,IncDocDate,"&lt;="&amp;H$2,IncDocDate,"&gt;"&amp;H$1,IncPayDate,"&lt;="&amp;$F$2,IncCus,$A5)</calculatedColumnFormula>
    </tableColumn>
    <tableColumn id="9" xr3:uid="{00000000-0010-0000-0000-000009000000}" name="90 Days" dataDxfId="53" dataCellStyle="Comma">
      <calculatedColumnFormula>SUMIFS(IncIncl,IncDocDate,"&lt;="&amp;I$2,IncDocDate,"&gt;"&amp;I$1,IncCus,$A5)-SUMIFS(IncPayAmount,IncDocDate,"&lt;="&amp;I$2,IncDocDate,"&gt;"&amp;I$1,IncPayDate,"&lt;="&amp;$F$2,IncCus,$A5)</calculatedColumnFormula>
    </tableColumn>
    <tableColumn id="10" xr3:uid="{00000000-0010-0000-0000-00000A000000}" name="120 Days" dataDxfId="52" dataCellStyle="Comma">
      <calculatedColumnFormula>SUMIFS(IncIncl,IncDocDate,"&lt;="&amp;J$2,IncDocDate,"&gt;"&amp;J$1,IncCus,$A5)-SUMIFS(IncPayAmount,IncDocDate,"&lt;="&amp;J$2,IncDocDate,"&gt;"&amp;J$1,IncPayDate,"&lt;="&amp;$F$2,IncCus,$A5)</calculatedColumnFormula>
    </tableColumn>
    <tableColumn id="11" xr3:uid="{00000000-0010-0000-0000-00000B000000}" name="120+ Days" dataDxfId="51" dataCellStyle="Comma">
      <calculatedColumnFormula>SUMIFS(IncIncl,IncDocDate,"&lt;="&amp;K$2,IncCus,$A5)-SUMIFS(IncPayAmount,IncDocDate,"&lt;="&amp;K$2,IncPayDate,"&lt;="&amp;$F$2,IncCus,$A5)</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Income" displayName="Income" ref="A4:S84" totalsRowShown="0" headerRowDxfId="46" dataDxfId="44" headerRowBorderDxfId="45" tableBorderDxfId="43" headerRowCellStyle="Comma" dataCellStyle="Comma">
  <autoFilter ref="A4:S84" xr:uid="{00000000-0009-0000-0100-000001000000}">
    <filterColumn colId="7">
      <filters>
        <filter val="B1"/>
      </filters>
    </filterColumn>
  </autoFilter>
  <sortState ref="A5:S79">
    <sortCondition ref="K4:K79"/>
  </sortState>
  <tableColumns count="19">
    <tableColumn id="1" xr3:uid="{00000000-0010-0000-0100-000001000000}" name="Invoice Number" dataDxfId="42"/>
    <tableColumn id="2" xr3:uid="{00000000-0010-0000-0100-000002000000}" name="Invoice Date" dataDxfId="41"/>
    <tableColumn id="3" xr3:uid="{00000000-0010-0000-0100-000003000000}" name="Customer" dataDxfId="40"/>
    <tableColumn id="4" xr3:uid="{00000000-0010-0000-0100-000004000000}" name="Description" dataDxfId="39"/>
    <tableColumn id="5" xr3:uid="{00000000-0010-0000-0100-000005000000}" name="Tax Inclusive Amount" dataDxfId="38" dataCellStyle="Comma"/>
    <tableColumn id="6" xr3:uid="{00000000-0010-0000-0100-000006000000}" name="Tax 1 Code" dataDxfId="37" dataCellStyle="Comma"/>
    <tableColumn id="19" xr3:uid="{00000000-0010-0000-0100-000013000000}" name="Tax 2 Code" dataDxfId="36" dataCellStyle="Comma"/>
    <tableColumn id="12" xr3:uid="{00000000-0010-0000-0100-00000C000000}" name="Bank Code" dataDxfId="35" dataCellStyle="Comma"/>
    <tableColumn id="7" xr3:uid="{00000000-0010-0000-0100-000007000000}" name="Account Number" dataDxfId="34"/>
    <tableColumn id="14" xr3:uid="{00000000-0010-0000-0100-00000E000000}" name="Payment Amount" dataDxfId="33" dataCellStyle="Comma"/>
    <tableColumn id="8" xr3:uid="{00000000-0010-0000-0100-000008000000}" name="Payment Date" dataDxfId="32"/>
    <tableColumn id="15" xr3:uid="{00000000-0010-0000-0100-00000F000000}" name="Outstanding Balance" dataDxfId="31" dataCellStyle="Comma">
      <calculatedColumnFormula array="1">IF($Q5="N",0,SUMIFS(IncIncl,IncDocDate,"&lt;="&amp;$M$2,IncInvoice,$A5)-SUMIFS(IncPayAmount,IncDocDate,"&lt;="&amp;$M$2,IncPayDate,"&lt;="&amp;$M$2,IncInvoice,$A5))</calculatedColumnFormula>
    </tableColumn>
    <tableColumn id="9" xr3:uid="{00000000-0010-0000-0100-000009000000}" name="Exclusive Amount" dataDxfId="30" dataCellStyle="Comma">
      <calculatedColumnFormula array="1">$P5-IF(IncTaxCount=2,SUM(N5:O5),SUM(N5:N5))</calculatedColumnFormula>
    </tableColumn>
    <tableColumn id="10" xr3:uid="{00000000-0010-0000-0100-00000A000000}" name="Sales Tax 1 Amount" dataDxfId="29" dataCellStyle="Comma">
      <calculatedColumnFormula>$P5/(1+IF(ISERROR($F5),0,IF(ISNA(MATCH($F5,TaxCode,0)),0,OFFSET(Setup!$D$23,MATCH($F5,TaxCode,0),0,1,1)))+IF(ISERROR($G5),0,IF(ISNA(MATCH($G5,TaxCode,0)),0,OFFSET(Setup!$D$23,MATCH($G5,TaxCode,0),0,1,1))))*IF(ISERROR($F5),0,IF(ISNA(MATCH($F5,TaxCode,0)),0,OFFSET(Setup!$D$23,MATCH($F5,TaxCode,0),0,1,1)))</calculatedColumnFormula>
    </tableColumn>
    <tableColumn id="18" xr3:uid="{00000000-0010-0000-0100-000012000000}" name="Sales Tax 2 Amount" dataDxfId="28" dataCellStyle="Comma">
      <calculatedColumnFormula>$P5/(1+IF(ISERROR($F5),0,IF(ISNA(MATCH($F5,TaxCode,0)),0,OFFSET(Setup!$D$23,MATCH($F5,TaxCode,0),0,1,1)))+IF(ISERROR($G5),0,IF(ISNA(MATCH($G5,TaxCode,0)),0,OFFSET(Setup!$D$23,MATCH($G5,TaxCode,0),0,1,1))))*IF(ISERROR($G5),0,IF(ISNA(MATCH($G5,TaxCode,0)),0,OFFSET(Setup!$D$23,MATCH($G5,TaxCode,0),0,1,1)))</calculatedColumnFormula>
    </tableColumn>
    <tableColumn id="11" xr3:uid="{00000000-0010-0000-0100-00000B000000}" name="Inclusive Amount" dataDxfId="27" dataCellStyle="Comma">
      <calculatedColumnFormula>E5</calculatedColumnFormula>
    </tableColumn>
    <tableColumn id="16" xr3:uid="{00000000-0010-0000-0100-000010000000}" name="Unique INV" dataDxfId="26" dataCellStyle="Comma">
      <calculatedColumnFormula>IF(ISNA(MATCH($A5,IncInvoice,0)),"N",IF(MATCH($A5,IncInvoice,0)=ROW($A5)-4,"Y","N"))</calculatedColumnFormula>
    </tableColumn>
    <tableColumn id="17" xr3:uid="{00000000-0010-0000-0100-000011000000}" name="ST1" dataDxfId="25" dataCellStyle="Comma">
      <calculatedColumnFormula array="1">IF($Q5="N",0,IF(ROUND(SUMIFS(IncIncl,IncDocDate,"&lt;="&amp;$R$2,IncInvoice,$A5,IncCus,$R$1)-SUMIFS(IncPayAmount,IncDocDate,"&lt;="&amp;$R$2,IncPayDate,"&lt;="&amp;$R$2,IncInvoice,$A5,IncCus,$R$1),2)=0,0,1))</calculatedColumnFormula>
    </tableColumn>
    <tableColumn id="13" xr3:uid="{00000000-0010-0000-0100-00000D000000}" name="Error Code" dataDxfId="24" dataCellStyle="Comma">
      <calculatedColumnFormula>IF(AND(ISBLANK(K5)=FALSE,K5&lt;B5),"E1",IF(AND(ISBLANK(I5)=FALSE,ISNA(MATCH($I5,AccountNo,0))),"E2",IF(AND(ISBLANK(H5)=FALSE,ISNA(MATCH($H5,BankCode,0))),"E3",IF(AND(ISBLANK(C5)=FALSE,ISNA(MATCH($C5,CustomerCode,0))),"E4","-"))))</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Expense" displayName="Expense" ref="A4:P300" totalsRowShown="0" headerRowDxfId="20" dataDxfId="18" headerRowBorderDxfId="19" tableBorderDxfId="17" headerRowCellStyle="Comma" dataCellStyle="Comma">
  <autoFilter ref="A4:P300" xr:uid="{00000000-0009-0000-0100-000002000000}"/>
  <tableColumns count="16">
    <tableColumn id="1" xr3:uid="{00000000-0010-0000-0200-000001000000}" name="Document Date" dataDxfId="16"/>
    <tableColumn id="2" xr3:uid="{00000000-0010-0000-0200-000002000000}" name="Supplier" dataDxfId="15"/>
    <tableColumn id="3" xr3:uid="{00000000-0010-0000-0200-000003000000}" name="Reference" dataDxfId="14"/>
    <tableColumn id="4" xr3:uid="{00000000-0010-0000-0200-000004000000}" name="Description" dataDxfId="13"/>
    <tableColumn id="5" xr3:uid="{00000000-0010-0000-0200-000005000000}" name="Tax Inclusive Amount" dataDxfId="12" dataCellStyle="Comma"/>
    <tableColumn id="6" xr3:uid="{00000000-0010-0000-0200-000006000000}" name="Tax 1 Code" dataDxfId="11" dataCellStyle="Comma"/>
    <tableColumn id="16" xr3:uid="{00000000-0010-0000-0200-000010000000}" name="Tax 2 Code" dataDxfId="10" dataCellStyle="Comma"/>
    <tableColumn id="12" xr3:uid="{00000000-0010-0000-0200-00000C000000}" name="Bank Code" dataDxfId="9" dataCellStyle="Comma"/>
    <tableColumn id="7" xr3:uid="{00000000-0010-0000-0200-000007000000}" name="Account Number" dataDxfId="8"/>
    <tableColumn id="8" xr3:uid="{00000000-0010-0000-0200-000008000000}" name="Payment Date" dataDxfId="7"/>
    <tableColumn id="14" xr3:uid="{00000000-0010-0000-0200-00000E000000}" name="Outstanding Balance" dataDxfId="6" dataCellStyle="Comma">
      <calculatedColumnFormula>IF(AND($A5&lt;=$L$2,OR($J5&gt;$L$2,ISBLANK($J5))),$E5,0)</calculatedColumnFormula>
    </tableColumn>
    <tableColumn id="9" xr3:uid="{00000000-0010-0000-0200-000009000000}" name="Exclusive Amount" dataDxfId="5" dataCellStyle="Comma">
      <calculatedColumnFormula array="1">O5-IF(ExpTaxCount=2,SUM(M5:N5),SUM(M5:M5))</calculatedColumnFormula>
    </tableColumn>
    <tableColumn id="10" xr3:uid="{00000000-0010-0000-0200-00000A000000}" name="Sales Tax 1 Amount" dataDxfId="4" dataCellStyle="Comma">
      <calculatedColumnFormula>$O5/(1+IF(ISERROR($F5),0,IF(ISNA(MATCH($F5,TaxCode,0)),0,OFFSET(Setup!$D$23,MATCH($F5,TaxCode,0),0,1,1)))+IF(ISERROR($G5),0,IF(ISNA(MATCH($G5,TaxCode,0)),0,OFFSET(Setup!$D$23,MATCH($G5,TaxCode,0),0,1,1))))*IF(ISERROR($F5),0,IF(ISNA(MATCH($F5,TaxCode,0)),0,OFFSET(Setup!$D$23,MATCH($F5,TaxCode,0),0,1,1)))</calculatedColumnFormula>
    </tableColumn>
    <tableColumn id="15" xr3:uid="{00000000-0010-0000-0200-00000F000000}" name="Sales Tax 2 Amount" dataDxfId="3" dataCellStyle="Comma">
      <calculatedColumnFormula>$O5/(1+IF(ISERROR($F5),0,IF(ISNA(MATCH($F5,TaxCode,0)),0,OFFSET(Setup!$D$23,MATCH($F5,TaxCode,0),0,1,1)))+IF(ISERROR($G5),0,IF(ISNA(MATCH($G5,TaxCode,0)),0,OFFSET(Setup!$D$23,MATCH($G5,TaxCode,0),0,1,1))))*IF(ISERROR($G5),0,IF(ISNA(MATCH($G5,TaxCode,0)),0,OFFSET(Setup!$D$23,MATCH($G5,TaxCode,0),0,1,1)))</calculatedColumnFormula>
    </tableColumn>
    <tableColumn id="11" xr3:uid="{00000000-0010-0000-0200-00000B000000}" name="Inclusive Amount" dataDxfId="2" dataCellStyle="Comma">
      <calculatedColumnFormula>E5</calculatedColumnFormula>
    </tableColumn>
    <tableColumn id="13" xr3:uid="{00000000-0010-0000-0200-00000D000000}" name="Error Code" dataDxfId="1" dataCellStyle="Comma">
      <calculatedColumnFormula>IF(AND(ISBLANK(J5)=FALSE,J5&lt;A5),"E1",IF(AND(ISBLANK(I5)=FALSE,ISNA(MATCH($I5,AccountNo,0))),"E2",IF(AND(ISBLANK(H5)=FALSE,ISNA(MATCH($H5,BankCode,0))),"E3","-")))</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asia@nasia.co.tz" TargetMode="External"/><Relationship Id="rId1" Type="http://schemas.openxmlformats.org/officeDocument/2006/relationships/hyperlink" Target="http://www.nasia.co.tz/"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election activeCell="B2" sqref="B2"/>
    </sheetView>
  </sheetViews>
  <sheetFormatPr defaultColWidth="8.85546875" defaultRowHeight="16.5" x14ac:dyDescent="0.3"/>
  <cols>
    <col min="1" max="14" width="15.5703125" style="1" customWidth="1"/>
    <col min="15" max="16384" width="8.85546875" style="1"/>
  </cols>
  <sheetData/>
  <pageMargins left="0.7" right="0.7" top="0.75" bottom="0.75" header="0.3" footer="0.3"/>
  <pageSetup paperSize="9" orientation="portrait" horizontalDpi="1200" verticalDpi="12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B1:I62"/>
  <sheetViews>
    <sheetView zoomScale="95" zoomScaleNormal="95" workbookViewId="0">
      <selection activeCell="C36" sqref="C36"/>
    </sheetView>
  </sheetViews>
  <sheetFormatPr defaultColWidth="9.140625" defaultRowHeight="15.95" customHeight="1" x14ac:dyDescent="0.25"/>
  <cols>
    <col min="1" max="1" width="1.5703125" style="100" customWidth="1"/>
    <col min="2" max="2" width="2.5703125" style="100" customWidth="1"/>
    <col min="3" max="6" width="15.5703125" style="100" customWidth="1"/>
    <col min="7" max="8" width="15.5703125" style="142" customWidth="1"/>
    <col min="9" max="9" width="2.5703125" style="100" customWidth="1"/>
    <col min="10" max="20" width="15.5703125" style="100" customWidth="1"/>
    <col min="21" max="16384" width="9.140625" style="100"/>
  </cols>
  <sheetData>
    <row r="1" spans="2:9" ht="11.1" customHeight="1" x14ac:dyDescent="0.25">
      <c r="G1" s="100"/>
      <c r="H1" s="100"/>
    </row>
    <row r="2" spans="2:9" ht="15.95" customHeight="1" x14ac:dyDescent="0.25">
      <c r="B2" s="64"/>
      <c r="C2" s="64"/>
      <c r="D2" s="64"/>
      <c r="E2" s="64"/>
      <c r="F2" s="64"/>
      <c r="G2" s="64"/>
      <c r="H2" s="64"/>
      <c r="I2" s="64"/>
    </row>
    <row r="3" spans="2:9" ht="15.95" customHeight="1" x14ac:dyDescent="0.25">
      <c r="B3" s="64"/>
      <c r="C3" s="64"/>
      <c r="D3" s="64"/>
      <c r="E3" s="64"/>
      <c r="F3" s="64"/>
      <c r="G3" s="64"/>
      <c r="H3" s="64"/>
      <c r="I3" s="64"/>
    </row>
    <row r="4" spans="2:9" ht="15.95" customHeight="1" x14ac:dyDescent="0.25">
      <c r="B4" s="64"/>
      <c r="C4" s="64"/>
      <c r="D4" s="64"/>
      <c r="E4" s="64"/>
      <c r="F4" s="64"/>
      <c r="G4" s="64"/>
      <c r="H4" s="64"/>
      <c r="I4" s="64"/>
    </row>
    <row r="5" spans="2:9" ht="15.95" customHeight="1" x14ac:dyDescent="0.25">
      <c r="B5" s="64"/>
      <c r="C5" s="64"/>
      <c r="D5" s="64"/>
      <c r="E5" s="64"/>
      <c r="F5" s="64"/>
      <c r="G5" s="64"/>
      <c r="H5" s="64"/>
      <c r="I5" s="64"/>
    </row>
    <row r="6" spans="2:9" ht="15.95" customHeight="1" x14ac:dyDescent="0.25">
      <c r="B6" s="64"/>
      <c r="C6" s="64"/>
      <c r="D6" s="64"/>
      <c r="E6" s="64"/>
      <c r="F6" s="64"/>
      <c r="G6" s="64"/>
      <c r="H6" s="64"/>
      <c r="I6" s="64"/>
    </row>
    <row r="7" spans="2:9" ht="15.95" customHeight="1" x14ac:dyDescent="0.25">
      <c r="B7" s="64"/>
      <c r="C7" s="64"/>
      <c r="D7" s="64"/>
      <c r="E7" s="64"/>
      <c r="F7" s="64"/>
      <c r="G7" s="64"/>
      <c r="H7" s="64"/>
      <c r="I7" s="64"/>
    </row>
    <row r="8" spans="2:9" ht="15.95" customHeight="1" x14ac:dyDescent="0.25">
      <c r="B8" s="64"/>
      <c r="C8" s="101" t="str">
        <f>IF(ISBLANK(Setup!C5),"",Setup!C5)</f>
        <v>Nasia Consult Co. Limited</v>
      </c>
      <c r="D8" s="64"/>
      <c r="E8" s="64"/>
      <c r="F8" s="64"/>
      <c r="G8" s="86"/>
      <c r="H8" s="102"/>
      <c r="I8" s="64"/>
    </row>
    <row r="9" spans="2:9" ht="15.95" customHeight="1" x14ac:dyDescent="0.25">
      <c r="B9" s="64"/>
      <c r="C9" s="103" t="str">
        <f>IF(ISBLANK(Setup!C6),"",Setup!C6)</f>
        <v>Victoria Noble Centre, 4th Floor, P O Box 34595, Dar es Salaam</v>
      </c>
      <c r="D9" s="64"/>
      <c r="E9" s="64"/>
      <c r="F9" s="64"/>
      <c r="G9" s="104"/>
      <c r="H9" s="64"/>
      <c r="I9" s="64"/>
    </row>
    <row r="10" spans="2:9" ht="15.95" customHeight="1" x14ac:dyDescent="0.25">
      <c r="B10" s="64"/>
      <c r="C10" s="103" t="str">
        <f>IF(ISBLANK(Setup!C7),"",Setup!A7&amp;": "&amp;Setup!C7)&amp;IF(ISBLANK(Setup!C8),""," | "&amp;Setup!A8&amp;": "&amp;Setup!C8)</f>
        <v>Contact Number: +255 624 059 601 | Fax Number: +255 713 025 625</v>
      </c>
      <c r="D10" s="64"/>
      <c r="E10" s="101"/>
      <c r="F10" s="101"/>
      <c r="G10" s="86"/>
      <c r="H10" s="86"/>
      <c r="I10" s="64"/>
    </row>
    <row r="11" spans="2:9" ht="15.95" customHeight="1" x14ac:dyDescent="0.25">
      <c r="B11" s="64"/>
      <c r="C11" s="103" t="str">
        <f>IF(ISBLANK(Setup!C9),"",Setup!A9&amp;": "&amp;Setup!C9)&amp;IF(ISBLANK(Setup!C10),""," | "&amp;Setup!A10&amp;": "&amp;Setup!C10)</f>
        <v>Website: www.nasia.co.tz | E-mail: nasia@nasia.co.tz</v>
      </c>
      <c r="D11" s="64"/>
      <c r="E11" s="103"/>
      <c r="F11" s="103"/>
      <c r="G11" s="104"/>
      <c r="H11" s="104"/>
      <c r="I11" s="64"/>
    </row>
    <row r="12" spans="2:9" ht="15.95" customHeight="1" x14ac:dyDescent="0.25">
      <c r="B12" s="64"/>
      <c r="C12" s="103" t="str">
        <f>IF(ISBLANK(Setup!C11),"",Setup!A11&amp;": "&amp;Setup!C11)&amp;IF(ISBLANK(Setup!C12),""," | "&amp;Setup!A12&amp;": "&amp;Setup!C12)</f>
        <v>Sales Tax Number: 9999 999 9999 | Registration Number: 2011 000000 00</v>
      </c>
      <c r="D12" s="64"/>
      <c r="E12" s="103"/>
      <c r="F12" s="103"/>
      <c r="G12" s="104"/>
      <c r="H12" s="104"/>
      <c r="I12" s="64"/>
    </row>
    <row r="13" spans="2:9" ht="15.95" customHeight="1" thickBot="1" x14ac:dyDescent="0.3">
      <c r="B13" s="64"/>
      <c r="C13" s="103"/>
      <c r="D13" s="64"/>
      <c r="E13" s="64"/>
      <c r="F13" s="64"/>
      <c r="G13" s="105"/>
      <c r="H13" s="86"/>
      <c r="I13" s="64"/>
    </row>
    <row r="14" spans="2:9" s="276" customFormat="1" ht="18" customHeight="1" thickBot="1" x14ac:dyDescent="0.3">
      <c r="B14" s="275"/>
      <c r="C14" s="359" t="s">
        <v>516</v>
      </c>
      <c r="D14" s="360"/>
      <c r="E14" s="360"/>
      <c r="F14" s="360"/>
      <c r="G14" s="360"/>
      <c r="H14" s="361"/>
      <c r="I14" s="275"/>
    </row>
    <row r="15" spans="2:9" ht="15.95" customHeight="1" x14ac:dyDescent="0.25">
      <c r="B15" s="64"/>
      <c r="C15" s="103"/>
      <c r="D15" s="64"/>
      <c r="E15" s="64"/>
      <c r="F15" s="64"/>
      <c r="G15" s="105"/>
      <c r="H15" s="86"/>
      <c r="I15" s="64"/>
    </row>
    <row r="16" spans="2:9" s="110" customFormat="1" ht="15.95" customHeight="1" x14ac:dyDescent="0.2">
      <c r="B16" s="106"/>
      <c r="C16" s="143"/>
      <c r="D16" s="144"/>
      <c r="E16" s="109"/>
      <c r="F16" s="109"/>
      <c r="G16" s="106" t="s">
        <v>515</v>
      </c>
      <c r="H16" s="145" t="s">
        <v>687</v>
      </c>
      <c r="I16" s="106"/>
    </row>
    <row r="17" spans="2:9" s="110" customFormat="1" ht="15.95" customHeight="1" x14ac:dyDescent="0.2">
      <c r="B17" s="106"/>
      <c r="C17" s="106"/>
      <c r="D17" s="106"/>
      <c r="E17" s="112"/>
      <c r="F17" s="112"/>
      <c r="G17" s="107" t="s">
        <v>518</v>
      </c>
      <c r="H17" s="146">
        <v>45657</v>
      </c>
      <c r="I17" s="106"/>
    </row>
    <row r="18" spans="2:9" ht="15.95" customHeight="1" x14ac:dyDescent="0.25">
      <c r="B18" s="64"/>
      <c r="C18" s="103"/>
      <c r="D18" s="64"/>
      <c r="E18" s="64"/>
      <c r="F18" s="64"/>
      <c r="G18" s="64"/>
      <c r="H18" s="64"/>
      <c r="I18" s="64"/>
    </row>
    <row r="19" spans="2:9" ht="15.95" customHeight="1" x14ac:dyDescent="0.25">
      <c r="B19" s="64"/>
      <c r="C19" s="113" t="s">
        <v>517</v>
      </c>
      <c r="D19" s="114"/>
      <c r="E19" s="115"/>
      <c r="F19" s="115"/>
      <c r="G19" s="115"/>
      <c r="H19" s="116"/>
      <c r="I19" s="64"/>
    </row>
    <row r="20" spans="2:9" ht="15.95" customHeight="1" x14ac:dyDescent="0.25">
      <c r="B20" s="64"/>
      <c r="C20" s="147" t="str">
        <f>IF(ISNA(VLOOKUP($H$16,Customer[],COLUMN(Customers!$B$4),0)),"",IF(VLOOKUP($H$16,Customer[],COLUMN(Customers!$B$4),0)=0,"",VLOOKUP($H$16,Customer[],COLUMN(Customers!$B$4),0)))</f>
        <v>TIB BANK LTD</v>
      </c>
      <c r="D20" s="148"/>
      <c r="E20" s="149"/>
      <c r="F20" s="149"/>
      <c r="G20" s="149"/>
      <c r="H20" s="150"/>
      <c r="I20" s="64"/>
    </row>
    <row r="21" spans="2:9" ht="15.95" customHeight="1" x14ac:dyDescent="0.25">
      <c r="B21" s="64"/>
      <c r="C21" s="151" t="str">
        <f>IF(ISNA(VLOOKUP($H$16,Customer[],COLUMN(Customers!$C$4),0)),"",IF(VLOOKUP($H$16,Customer[],COLUMN(Customers!$C$4),0)=0,"",VLOOKUP($H$16,Customer[],COLUMN(Customers!$C$4),0)))</f>
        <v/>
      </c>
      <c r="D21" s="152"/>
      <c r="E21" s="153"/>
      <c r="F21" s="153"/>
      <c r="G21" s="153"/>
      <c r="H21" s="154"/>
      <c r="I21" s="64"/>
    </row>
    <row r="22" spans="2:9" ht="15.95" customHeight="1" x14ac:dyDescent="0.25">
      <c r="B22" s="64"/>
      <c r="C22" s="64"/>
      <c r="D22" s="64"/>
      <c r="E22" s="64"/>
      <c r="F22" s="64"/>
      <c r="G22" s="86"/>
      <c r="H22" s="86"/>
      <c r="I22" s="64"/>
    </row>
    <row r="23" spans="2:9" s="110" customFormat="1" ht="15.95" customHeight="1" x14ac:dyDescent="0.2">
      <c r="B23" s="106"/>
      <c r="C23" s="106"/>
      <c r="D23" s="106"/>
      <c r="E23" s="106"/>
      <c r="F23" s="106"/>
      <c r="G23" s="102" t="s">
        <v>519</v>
      </c>
      <c r="H23" s="155">
        <f>SUMIFS(IncIncl,IncDocDate,"&lt;="&amp;$H$17,IncCus,$H$16)-SUMIFS(IncPayAmount,IncDocDate,"&lt;="&amp;$H$17,IncPayDate,"&lt;="&amp;$H$17,IncCus,$H$16)</f>
        <v>413000</v>
      </c>
      <c r="I23" s="106"/>
    </row>
    <row r="24" spans="2:9" ht="15.95" customHeight="1" x14ac:dyDescent="0.25">
      <c r="B24" s="64"/>
      <c r="C24" s="64"/>
      <c r="D24" s="64"/>
      <c r="E24" s="64"/>
      <c r="F24" s="64"/>
      <c r="G24" s="86"/>
      <c r="H24" s="86"/>
      <c r="I24" s="64"/>
    </row>
    <row r="25" spans="2:9" s="160" customFormat="1" ht="15.95" customHeight="1" x14ac:dyDescent="0.25">
      <c r="B25" s="156"/>
      <c r="C25" s="157" t="s">
        <v>520</v>
      </c>
      <c r="D25" s="157" t="s">
        <v>521</v>
      </c>
      <c r="E25" s="157" t="s">
        <v>522</v>
      </c>
      <c r="F25" s="157" t="s">
        <v>523</v>
      </c>
      <c r="G25" s="158" t="s">
        <v>524</v>
      </c>
      <c r="H25" s="159" t="s">
        <v>525</v>
      </c>
      <c r="I25" s="156"/>
    </row>
    <row r="26" spans="2:9" s="165" customFormat="1" ht="15.95" customHeight="1" x14ac:dyDescent="0.25">
      <c r="B26" s="161"/>
      <c r="C26" s="162" cm="1">
        <f t="array" ref="C26">IF(ISBLANK($H$17)=TRUE,0,SUMIFS(IncIncl,IncDocDate,"&lt;="&amp;C27,IncDocDate,"&gt;"&amp;C28,IncCus,$H$16)-SUMIFS(IncPayAmount,IncDocDate,"&lt;="&amp;C27,IncDocDate,"&gt;"&amp;C28,IncPayDate,"&lt;="&amp;$H$17,IncCus,$H$16))</f>
        <v>0</v>
      </c>
      <c r="D26" s="163" cm="1">
        <f t="array" ref="D26">IF(ISBLANK($H$17)=TRUE,0,SUMIFS(IncIncl,IncDocDate,"&lt;="&amp;D27,IncDocDate,"&gt;"&amp;D28,IncCus,$H$16)-SUMIFS(IncPayAmount,IncDocDate,"&lt;="&amp;D27,IncDocDate,"&gt;"&amp;D28,IncPayDate,"&lt;="&amp;$H$17,IncCus,$H$16))</f>
        <v>0</v>
      </c>
      <c r="E26" s="162" cm="1">
        <f t="array" ref="E26">IF(ISBLANK($H$17)=TRUE,0,SUMIFS(IncIncl,IncDocDate,"&lt;="&amp;E27,IncDocDate,"&gt;"&amp;E28,IncCus,$H$16)-SUMIFS(IncPayAmount,IncDocDate,"&lt;="&amp;E27,IncDocDate,"&gt;"&amp;E28,IncPayDate,"&lt;="&amp;$H$17,IncCus,$H$16))</f>
        <v>0</v>
      </c>
      <c r="F26" s="162" cm="1">
        <f t="array" ref="F26">IF(ISBLANK($H$17)=TRUE,0,SUMIFS(IncIncl,IncDocDate,"&lt;="&amp;F27,IncDocDate,"&gt;"&amp;F28,IncCus,$H$16)-SUMIFS(IncPayAmount,IncDocDate,"&lt;="&amp;F27,IncDocDate,"&gt;"&amp;F28,IncPayDate,"&lt;="&amp;$H$17,IncCus,$H$16))</f>
        <v>0</v>
      </c>
      <c r="G26" s="162" cm="1">
        <f t="array" ref="G26">IF(ISBLANK($H$17)=TRUE,0,SUMIFS(IncIncl,IncDocDate,"&lt;="&amp;G27,IncDocDate,"&gt;"&amp;G28,IncCus,$H$16)-SUMIFS(IncPayAmount,IncDocDate,"&lt;="&amp;G27,IncDocDate,"&gt;"&amp;G28,IncPayDate,"&lt;="&amp;$H$17,IncCus,$H$16))</f>
        <v>0</v>
      </c>
      <c r="H26" s="162" cm="1">
        <f t="array" ref="H26">IF(ISBLANK($H$17)=TRUE,0,SUMIFS(IncIncl,IncDocDate,"&lt;="&amp;H27,IncCus,$H$16)-SUMIFS(IncPayAmount,IncDocDate,"&lt;="&amp;H27,IncPayDate,"&lt;="&amp;$H$17,IncCus,$H$16))</f>
        <v>413000</v>
      </c>
      <c r="I26" s="164"/>
    </row>
    <row r="27" spans="2:9" s="169" customFormat="1" ht="15.95" hidden="1" customHeight="1" x14ac:dyDescent="0.25">
      <c r="B27" s="166"/>
      <c r="C27" s="167">
        <f>IF($H$17=DATE(YEAR($H$17),MONTH($H$17)+1,0)=TRUE,DATE(YEAR($H$17),MONTH($H$17)+1-COLUMN(C25)+COLUMN($C25),0),IF(AND(MONTH(DATE(YEAR($H$17),MONTH($H$17)+1-COLUMN(C25)+COLUMN($C25),0))=2,DAY($H$17)&gt;DAY(DATE(YEAR($H$17),MONTH($H$17)+1-COLUMN(C25)+COLUMN($C25),0)))=TRUE,DATE(YEAR($H$17),MONTH($H$17)+1-COLUMN(C25)+COLUMN($C25),0),DATE(YEAR($H$17),MONTH($H$17)-COLUMN(C25)+COLUMN($C25),DAY($H$17))))</f>
        <v>45657</v>
      </c>
      <c r="D27" s="167">
        <f t="shared" ref="D27:G27" si="0">IF($H$17=DATE(YEAR($H$17),MONTH($H$17)+1,0)=TRUE,DATE(YEAR($H$17),MONTH($H$17)+1-COLUMN(D25)+COLUMN($C25),0),IF(AND(MONTH(DATE(YEAR($H$17),MONTH($H$17)+1-COLUMN(D25)+COLUMN($C25),0))=2,DAY($H$17)&gt;DAY(DATE(YEAR($H$17),MONTH($H$17)+1-COLUMN(D25)+COLUMN($C25),0)))=TRUE,DATE(YEAR($H$17),MONTH($H$17)+1-COLUMN(D25)+COLUMN($C25),0),DATE(YEAR($H$17),MONTH($H$17)-COLUMN(D25)+COLUMN($C25),DAY($H$17))))</f>
        <v>45626</v>
      </c>
      <c r="E27" s="167">
        <f t="shared" si="0"/>
        <v>45596</v>
      </c>
      <c r="F27" s="167">
        <f t="shared" si="0"/>
        <v>45565</v>
      </c>
      <c r="G27" s="167">
        <f t="shared" si="0"/>
        <v>45535</v>
      </c>
      <c r="H27" s="167">
        <f>IF($H$17=DATE(YEAR($H$17),MONTH($H$17)+1,0)=TRUE,DATE(YEAR($H$17),MONTH($H$17)+1-COLUMN(H25)+COLUMN($C25),0),IF(AND(MONTH(DATE(YEAR($H$17),MONTH($H$17)+1-COLUMN(C25)+COLUMN($C25),0))=2,DAY($H$17)&gt;DAY(DATE(YEAR($H$17),MONTH($H$17)+1-COLUMN(H25)+COLUMN($C25),0)))=TRUE,DATE(YEAR($H$17),MONTH($H$17)+1-COLUMN(H25)+COLUMN($C25),0),DATE(YEAR($H$17),MONTH($H$17)-COLUMN(H25)+COLUMN($C25),DAY($H$17))))</f>
        <v>45504</v>
      </c>
      <c r="I27" s="168"/>
    </row>
    <row r="28" spans="2:9" ht="15.95" hidden="1" customHeight="1" x14ac:dyDescent="0.25">
      <c r="B28" s="129"/>
      <c r="C28" s="167">
        <f>IF($H$17=DATE(YEAR($H$17),MONTH($H$17)+1,0)=TRUE,DATE(YEAR($H$17),MONTH($H$17)+1-COLUMN(C25)+COLUMN($B25),0),IF(AND(MONTH(DATE(YEAR($H$17),MONTH($H$17)+1-COLUMN(C25)+COLUMN($B25),0))=2,DAY($H$17)&gt;DAY(DATE(YEAR($H$17),MONTH($H$17)+1-COLUMN(C25)+COLUMN($B25),0)))=TRUE,DATE(YEAR($H$17),MONTH($H$17)+1-COLUMN(C25)+COLUMN($B25),0),DATE(YEAR($H$17),MONTH($H$17)-COLUMN(C25)+COLUMN($B25),DAY($H$17))))</f>
        <v>45626</v>
      </c>
      <c r="D28" s="167">
        <f t="shared" ref="D28:H28" si="1">IF($H$17=DATE(YEAR($H$17),MONTH($H$17)+1,0)=TRUE,DATE(YEAR($H$17),MONTH($H$17)+1-COLUMN(D25)+COLUMN($B25),0),IF(AND(MONTH(DATE(YEAR($H$17),MONTH($H$17)+1-COLUMN(D25)+COLUMN($B25),0))=2,DAY($H$17)&gt;DAY(DATE(YEAR($H$17),MONTH($H$17)+1-COLUMN(D25)+COLUMN($B25),0)))=TRUE,DATE(YEAR($H$17),MONTH($H$17)+1-COLUMN(D25)+COLUMN($B25),0),DATE(YEAR($H$17),MONTH($H$17)-COLUMN(D25)+COLUMN($B25),DAY($H$17))))</f>
        <v>45596</v>
      </c>
      <c r="E28" s="167">
        <f t="shared" si="1"/>
        <v>45565</v>
      </c>
      <c r="F28" s="167">
        <f t="shared" si="1"/>
        <v>45535</v>
      </c>
      <c r="G28" s="167">
        <f t="shared" si="1"/>
        <v>45504</v>
      </c>
      <c r="H28" s="167">
        <f t="shared" si="1"/>
        <v>45473</v>
      </c>
      <c r="I28" s="64"/>
    </row>
    <row r="29" spans="2:9" ht="15.95" customHeight="1" x14ac:dyDescent="0.25">
      <c r="B29" s="129"/>
      <c r="C29" s="130"/>
      <c r="D29" s="64"/>
      <c r="E29" s="34"/>
      <c r="F29" s="34"/>
      <c r="G29" s="131"/>
      <c r="H29" s="131"/>
      <c r="I29" s="64"/>
    </row>
    <row r="30" spans="2:9" s="110" customFormat="1" ht="15.95" customHeight="1" x14ac:dyDescent="0.2">
      <c r="B30" s="170"/>
      <c r="C30" s="171" t="s">
        <v>597</v>
      </c>
      <c r="D30" s="171" t="s">
        <v>32</v>
      </c>
      <c r="E30" s="172" t="s">
        <v>527</v>
      </c>
      <c r="F30" s="172"/>
      <c r="G30" s="173" t="s">
        <v>526</v>
      </c>
      <c r="H30" s="173" t="s">
        <v>528</v>
      </c>
      <c r="I30" s="106"/>
    </row>
    <row r="31" spans="2:9" ht="15.95" customHeight="1" x14ac:dyDescent="0.25">
      <c r="B31" s="129"/>
      <c r="C31" s="130" t="str">
        <f t="array" ref="C31">IF(ISERROR(INDEX(Income[],SMALL(IF(IncStatus=1,ROW(IncStatus)-4),ROW(1:1)),COLUMN(Income!$A$4)))=TRUE,"",INDEX(Income[],SMALL(IF(IncStatus=1,ROW(IncStatus)-4),ROW(1:1)),COLUMN(Income!$A$4)))</f>
        <v>NCL/2023-00056</v>
      </c>
      <c r="D31" s="174">
        <f t="array" ref="D31">IF(ISERROR(INDEX(Income[],SMALL(IF(IncStatus=1,ROW(IncStatus)-4),ROW(1:1)),COLUMN(Income!$B$4)))=TRUE,"",INDEX(Income[],SMALL(IF(IncStatus=1,ROW(IncStatus)-4),ROW(1:1)),COLUMN(Income!$B$4)))</f>
        <v>44928</v>
      </c>
      <c r="E31" s="103" t="str">
        <f>IF(LEN($C31)&gt;1,IF(G31&lt;0,"Credit","Invoice"),"")</f>
        <v>Invoice</v>
      </c>
      <c r="F31" s="34"/>
      <c r="G31" s="131" cm="1">
        <f t="array" ref="G31">IF(LEN($C31)&gt;1,SUMIFS(IncIncl,IncDocDate,"&lt;="&amp;$H$17,IncInvoice,$C31,IncCus,$H$16)-SUMIFS(IncPayAmount,IncDocDate,"&lt;="&amp;$H$17,IncPayDate,"&lt;="&amp;$H$17,IncInvoice,$C31,IncCus,$H$16),"")</f>
        <v>413000</v>
      </c>
      <c r="H31" s="131">
        <f>IF(LEN($C31)&gt;1,SUM(G$31:G31),"")</f>
        <v>413000</v>
      </c>
      <c r="I31" s="64"/>
    </row>
    <row r="32" spans="2:9" ht="15.95" customHeight="1" x14ac:dyDescent="0.25">
      <c r="B32" s="129"/>
      <c r="C32" s="130" t="str">
        <f t="array" ref="C32">IF(ISERROR(INDEX(Income[],SMALL(IF(IncStatus=1,ROW(IncStatus)-4),ROW(2:2)),COLUMN(Income!$A$4)))=TRUE,"",INDEX(Income[],SMALL(IF(IncStatus=1,ROW(IncStatus)-4),ROW(2:2)),COLUMN(Income!$A$4)))</f>
        <v/>
      </c>
      <c r="D32" s="174" t="str">
        <f t="array" ref="D32">IF(ISERROR(INDEX(Income[],SMALL(IF(IncStatus=1,ROW(IncStatus)-4),ROW(2:2)),COLUMN(Income!$B$4)))=TRUE,"",INDEX(Income[],SMALL(IF(IncStatus=1,ROW(IncStatus)-4),ROW(2:2)),COLUMN(Income!$B$4)))</f>
        <v/>
      </c>
      <c r="E32" s="103" t="str">
        <f t="shared" ref="E32:E60" si="2">IF(LEN($C32)&gt;1,IF(G32&lt;0,"Credit","Invoice"),"")</f>
        <v/>
      </c>
      <c r="F32" s="34"/>
      <c r="G32" s="131" t="str" cm="1">
        <f t="array" ref="G32">IF(LEN($C32)&gt;1,SUMIFS(IncIncl,IncDocDate,"&lt;="&amp;$H$17,IncInvoice,$C32,IncCus,$H$16)-SUMIFS(IncPayAmount,IncDocDate,"&lt;="&amp;$H$17,IncPayDate,"&lt;="&amp;$H$17,IncInvoice,$C32,IncCus,$H$16),"")</f>
        <v/>
      </c>
      <c r="H32" s="131" t="str">
        <f>IF(LEN($C32)&gt;1,SUM(G$31:G32),"")</f>
        <v/>
      </c>
      <c r="I32" s="64"/>
    </row>
    <row r="33" spans="2:9" ht="15.95" customHeight="1" x14ac:dyDescent="0.25">
      <c r="B33" s="129"/>
      <c r="C33" s="130" t="str">
        <f t="array" ref="C33">IF(ISERROR(INDEX(Income[],SMALL(IF(IncStatus=1,ROW(IncStatus)-4),ROW(3:3)),COLUMN(Income!$A$4)))=TRUE,"",INDEX(Income[],SMALL(IF(IncStatus=1,ROW(IncStatus)-4),ROW(3:3)),COLUMN(Income!$A$4)))</f>
        <v/>
      </c>
      <c r="D33" s="174" t="str">
        <f t="array" ref="D33">IF(ISERROR(INDEX(Income[],SMALL(IF(IncStatus=1,ROW(IncStatus)-4),ROW(3:3)),COLUMN(Income!$B$4)))=TRUE,"",INDEX(Income[],SMALL(IF(IncStatus=1,ROW(IncStatus)-4),ROW(3:3)),COLUMN(Income!$B$4)))</f>
        <v/>
      </c>
      <c r="E33" s="103" t="str">
        <f t="shared" si="2"/>
        <v/>
      </c>
      <c r="F33" s="34"/>
      <c r="G33" s="131" t="str" cm="1">
        <f t="array" ref="G33">IF(LEN($C33)&gt;1,SUMIFS(IncIncl,IncDocDate,"&lt;="&amp;$H$17,IncInvoice,$C33,IncCus,$H$16)-SUMIFS(IncPayAmount,IncDocDate,"&lt;="&amp;$H$17,IncPayDate,"&lt;="&amp;$H$17,IncInvoice,$C33,IncCus,$H$16),"")</f>
        <v/>
      </c>
      <c r="H33" s="131" t="str">
        <f>IF(LEN($C33)&gt;1,SUM(G$31:G33),"")</f>
        <v/>
      </c>
      <c r="I33" s="64"/>
    </row>
    <row r="34" spans="2:9" ht="15.95" customHeight="1" x14ac:dyDescent="0.25">
      <c r="B34" s="129"/>
      <c r="C34" s="130" t="str">
        <f t="array" ref="C34">IF(ISERROR(INDEX(Income[],SMALL(IF(IncStatus=1,ROW(IncStatus)-4),ROW(4:4)),COLUMN(Income!$A$4)))=TRUE,"",INDEX(Income[],SMALL(IF(IncStatus=1,ROW(IncStatus)-4),ROW(4:4)),COLUMN(Income!$A$4)))</f>
        <v/>
      </c>
      <c r="D34" s="174" t="str">
        <f t="array" ref="D34">IF(ISERROR(INDEX(Income[],SMALL(IF(IncStatus=1,ROW(IncStatus)-4),ROW(4:4)),COLUMN(Income!$B$4)))=TRUE,"",INDEX(Income[],SMALL(IF(IncStatus=1,ROW(IncStatus)-4),ROW(4:4)),COLUMN(Income!$B$4)))</f>
        <v/>
      </c>
      <c r="E34" s="103" t="str">
        <f t="shared" si="2"/>
        <v/>
      </c>
      <c r="F34" s="34"/>
      <c r="G34" s="131" t="str" cm="1">
        <f t="array" ref="G34">IF(LEN($C34)&gt;1,SUMIFS(IncIncl,IncDocDate,"&lt;="&amp;$H$17,IncInvoice,$C34,IncCus,$H$16)-SUMIFS(IncPayAmount,IncDocDate,"&lt;="&amp;$H$17,IncPayDate,"&lt;="&amp;$H$17,IncInvoice,$C34,IncCus,$H$16),"")</f>
        <v/>
      </c>
      <c r="H34" s="131" t="str">
        <f>IF(LEN($C34)&gt;1,SUM(G$31:G34),"")</f>
        <v/>
      </c>
      <c r="I34" s="64"/>
    </row>
    <row r="35" spans="2:9" ht="15.95" customHeight="1" x14ac:dyDescent="0.25">
      <c r="B35" s="129"/>
      <c r="C35" s="130" t="str">
        <f t="array" ref="C35">IF(ISERROR(INDEX(Income[],SMALL(IF(IncStatus=1,ROW(IncStatus)-4),ROW(5:5)),COLUMN(Income!$A$4)))=TRUE,"",INDEX(Income[],SMALL(IF(IncStatus=1,ROW(IncStatus)-4),ROW(5:5)),COLUMN(Income!$A$4)))</f>
        <v/>
      </c>
      <c r="D35" s="174" t="str">
        <f t="array" ref="D35">IF(ISERROR(INDEX(Income[],SMALL(IF(IncStatus=1,ROW(IncStatus)-4),ROW(5:5)),COLUMN(Income!$B$4)))=TRUE,"",INDEX(Income[],SMALL(IF(IncStatus=1,ROW(IncStatus)-4),ROW(5:5)),COLUMN(Income!$B$4)))</f>
        <v/>
      </c>
      <c r="E35" s="103" t="str">
        <f t="shared" si="2"/>
        <v/>
      </c>
      <c r="F35" s="34"/>
      <c r="G35" s="131" t="str" cm="1">
        <f t="array" ref="G35">IF(LEN($C35)&gt;1,SUMIFS(IncIncl,IncDocDate,"&lt;="&amp;$H$17,IncInvoice,$C35,IncCus,$H$16)-SUMIFS(IncPayAmount,IncDocDate,"&lt;="&amp;$H$17,IncPayDate,"&lt;="&amp;$H$17,IncInvoice,$C35,IncCus,$H$16),"")</f>
        <v/>
      </c>
      <c r="H35" s="131" t="str">
        <f>IF(LEN($C35)&gt;1,SUM(G$31:G35),"")</f>
        <v/>
      </c>
      <c r="I35" s="64"/>
    </row>
    <row r="36" spans="2:9" ht="15.95" customHeight="1" x14ac:dyDescent="0.25">
      <c r="B36" s="129"/>
      <c r="C36" s="130" t="str">
        <f t="array" ref="C36">IF(ISERROR(INDEX(Income[],SMALL(IF(IncStatus=1,ROW(IncStatus)-4),ROW(6:6)),COLUMN(Income!$A$4)))=TRUE,"",INDEX(Income[],SMALL(IF(IncStatus=1,ROW(IncStatus)-4),ROW(6:6)),COLUMN(Income!$A$4)))</f>
        <v/>
      </c>
      <c r="D36" s="174" t="str">
        <f t="array" ref="D36">IF(ISERROR(INDEX(Income[],SMALL(IF(IncStatus=1,ROW(IncStatus)-4),ROW(6:6)),COLUMN(Income!$B$4)))=TRUE,"",INDEX(Income[],SMALL(IF(IncStatus=1,ROW(IncStatus)-4),ROW(6:6)),COLUMN(Income!$B$4)))</f>
        <v/>
      </c>
      <c r="E36" s="103" t="str">
        <f t="shared" si="2"/>
        <v/>
      </c>
      <c r="F36" s="34"/>
      <c r="G36" s="131" t="str" cm="1">
        <f t="array" ref="G36">IF(LEN($C36)&gt;1,SUMIFS(IncIncl,IncDocDate,"&lt;="&amp;$H$17,IncInvoice,$C36,IncCus,$H$16)-SUMIFS(IncPayAmount,IncDocDate,"&lt;="&amp;$H$17,IncPayDate,"&lt;="&amp;$H$17,IncInvoice,$C36,IncCus,$H$16),"")</f>
        <v/>
      </c>
      <c r="H36" s="131" t="str">
        <f>IF(LEN($C36)&gt;1,SUM(G$31:G36),"")</f>
        <v/>
      </c>
      <c r="I36" s="64"/>
    </row>
    <row r="37" spans="2:9" ht="15.95" customHeight="1" x14ac:dyDescent="0.25">
      <c r="B37" s="129"/>
      <c r="C37" s="130" t="str">
        <f t="array" ref="C37">IF(ISERROR(INDEX(Income[],SMALL(IF(IncStatus=1,ROW(IncStatus)-4),ROW(7:7)),COLUMN(Income!$A$4)))=TRUE,"",INDEX(Income[],SMALL(IF(IncStatus=1,ROW(IncStatus)-4),ROW(7:7)),COLUMN(Income!$A$4)))</f>
        <v/>
      </c>
      <c r="D37" s="174" t="str">
        <f t="array" ref="D37">IF(ISERROR(INDEX(Income[],SMALL(IF(IncStatus=1,ROW(IncStatus)-4),ROW(7:7)),COLUMN(Income!$B$4)))=TRUE,"",INDEX(Income[],SMALL(IF(IncStatus=1,ROW(IncStatus)-4),ROW(7:7)),COLUMN(Income!$B$4)))</f>
        <v/>
      </c>
      <c r="E37" s="103" t="str">
        <f t="shared" si="2"/>
        <v/>
      </c>
      <c r="F37" s="34"/>
      <c r="G37" s="131" t="str" cm="1">
        <f t="array" ref="G37">IF(LEN($C37)&gt;1,SUMIFS(IncIncl,IncDocDate,"&lt;="&amp;$H$17,IncInvoice,$C37,IncCus,$H$16)-SUMIFS(IncPayAmount,IncDocDate,"&lt;="&amp;$H$17,IncPayDate,"&lt;="&amp;$H$17,IncInvoice,$C37,IncCus,$H$16),"")</f>
        <v/>
      </c>
      <c r="H37" s="131" t="str">
        <f>IF(LEN($C37)&gt;1,SUM(G$31:G37),"")</f>
        <v/>
      </c>
      <c r="I37" s="64"/>
    </row>
    <row r="38" spans="2:9" ht="15.95" customHeight="1" x14ac:dyDescent="0.25">
      <c r="B38" s="129"/>
      <c r="C38" s="130" t="str">
        <f t="array" ref="C38">IF(ISERROR(INDEX(Income[],SMALL(IF(IncStatus=1,ROW(IncStatus)-4),ROW(8:8)),COLUMN(Income!$A$4)))=TRUE,"",INDEX(Income[],SMALL(IF(IncStatus=1,ROW(IncStatus)-4),ROW(8:8)),COLUMN(Income!$A$4)))</f>
        <v/>
      </c>
      <c r="D38" s="174" t="str">
        <f t="array" ref="D38">IF(ISERROR(INDEX(Income[],SMALL(IF(IncStatus=1,ROW(IncStatus)-4),ROW(8:8)),COLUMN(Income!$B$4)))=TRUE,"",INDEX(Income[],SMALL(IF(IncStatus=1,ROW(IncStatus)-4),ROW(8:8)),COLUMN(Income!$B$4)))</f>
        <v/>
      </c>
      <c r="E38" s="103" t="str">
        <f t="shared" si="2"/>
        <v/>
      </c>
      <c r="F38" s="34"/>
      <c r="G38" s="131" t="str" cm="1">
        <f t="array" ref="G38">IF(LEN($C38)&gt;1,SUMIFS(IncIncl,IncDocDate,"&lt;="&amp;$H$17,IncInvoice,$C38,IncCus,$H$16)-SUMIFS(IncPayAmount,IncDocDate,"&lt;="&amp;$H$17,IncPayDate,"&lt;="&amp;$H$17,IncInvoice,$C38,IncCus,$H$16),"")</f>
        <v/>
      </c>
      <c r="H38" s="131" t="str">
        <f>IF(LEN($C38)&gt;1,SUM(G$31:G38),"")</f>
        <v/>
      </c>
      <c r="I38" s="64"/>
    </row>
    <row r="39" spans="2:9" ht="15.95" customHeight="1" x14ac:dyDescent="0.25">
      <c r="B39" s="129"/>
      <c r="C39" s="130" t="str">
        <f t="array" ref="C39">IF(ISERROR(INDEX(Income[],SMALL(IF(IncStatus=1,ROW(IncStatus)-4),ROW(9:9)),COLUMN(Income!$A$4)))=TRUE,"",INDEX(Income[],SMALL(IF(IncStatus=1,ROW(IncStatus)-4),ROW(9:9)),COLUMN(Income!$A$4)))</f>
        <v/>
      </c>
      <c r="D39" s="174" t="str">
        <f t="array" ref="D39">IF(ISERROR(INDEX(Income[],SMALL(IF(IncStatus=1,ROW(IncStatus)-4),ROW(9:9)),COLUMN(Income!$B$4)))=TRUE,"",INDEX(Income[],SMALL(IF(IncStatus=1,ROW(IncStatus)-4),ROW(9:9)),COLUMN(Income!$B$4)))</f>
        <v/>
      </c>
      <c r="E39" s="103" t="str">
        <f t="shared" si="2"/>
        <v/>
      </c>
      <c r="F39" s="34"/>
      <c r="G39" s="131" t="str" cm="1">
        <f t="array" ref="G39">IF(LEN($C39)&gt;1,SUMIFS(IncIncl,IncDocDate,"&lt;="&amp;$H$17,IncInvoice,$C39,IncCus,$H$16)-SUMIFS(IncPayAmount,IncDocDate,"&lt;="&amp;$H$17,IncPayDate,"&lt;="&amp;$H$17,IncInvoice,$C39,IncCus,$H$16),"")</f>
        <v/>
      </c>
      <c r="H39" s="131" t="str">
        <f>IF(LEN($C39)&gt;1,SUM(G$31:G39),"")</f>
        <v/>
      </c>
      <c r="I39" s="64"/>
    </row>
    <row r="40" spans="2:9" ht="15.95" customHeight="1" x14ac:dyDescent="0.25">
      <c r="B40" s="129"/>
      <c r="C40" s="130" t="str">
        <f t="array" ref="C40">IF(ISERROR(INDEX(Income[],SMALL(IF(IncStatus=1,ROW(IncStatus)-4),ROW(10:10)),COLUMN(Income!$A$4)))=TRUE,"",INDEX(Income[],SMALL(IF(IncStatus=1,ROW(IncStatus)-4),ROW(10:10)),COLUMN(Income!$A$4)))</f>
        <v/>
      </c>
      <c r="D40" s="174" t="str">
        <f t="array" ref="D40">IF(ISERROR(INDEX(Income[],SMALL(IF(IncStatus=1,ROW(IncStatus)-4),ROW(10:10)),COLUMN(Income!$B$4)))=TRUE,"",INDEX(Income[],SMALL(IF(IncStatus=1,ROW(IncStatus)-4),ROW(10:10)),COLUMN(Income!$B$4)))</f>
        <v/>
      </c>
      <c r="E40" s="103" t="str">
        <f t="shared" si="2"/>
        <v/>
      </c>
      <c r="F40" s="34"/>
      <c r="G40" s="131" t="str" cm="1">
        <f t="array" ref="G40">IF(LEN($C40)&gt;1,SUMIFS(IncIncl,IncDocDate,"&lt;="&amp;$H$17,IncInvoice,$C40,IncCus,$H$16)-SUMIFS(IncPayAmount,IncDocDate,"&lt;="&amp;$H$17,IncPayDate,"&lt;="&amp;$H$17,IncInvoice,$C40,IncCus,$H$16),"")</f>
        <v/>
      </c>
      <c r="H40" s="131" t="str">
        <f>IF(LEN($C40)&gt;1,SUM(G$31:G40),"")</f>
        <v/>
      </c>
      <c r="I40" s="64"/>
    </row>
    <row r="41" spans="2:9" ht="15.95" customHeight="1" x14ac:dyDescent="0.25">
      <c r="B41" s="129"/>
      <c r="C41" s="130" t="str">
        <f t="array" ref="C41">IF(ISERROR(INDEX(Income[],SMALL(IF(IncStatus=1,ROW(IncStatus)-4),ROW(11:11)),COLUMN(Income!$A$4)))=TRUE,"",INDEX(Income[],SMALL(IF(IncStatus=1,ROW(IncStatus)-4),ROW(11:11)),COLUMN(Income!$A$4)))</f>
        <v/>
      </c>
      <c r="D41" s="174" t="str">
        <f t="array" ref="D41">IF(ISERROR(INDEX(Income[],SMALL(IF(IncStatus=1,ROW(IncStatus)-4),ROW(11:11)),COLUMN(Income!$B$4)))=TRUE,"",INDEX(Income[],SMALL(IF(IncStatus=1,ROW(IncStatus)-4),ROW(11:11)),COLUMN(Income!$B$4)))</f>
        <v/>
      </c>
      <c r="E41" s="103" t="str">
        <f t="shared" si="2"/>
        <v/>
      </c>
      <c r="F41" s="34"/>
      <c r="G41" s="131" t="str" cm="1">
        <f t="array" ref="G41">IF(LEN($C41)&gt;1,SUMIFS(IncIncl,IncDocDate,"&lt;="&amp;$H$17,IncInvoice,$C41,IncCus,$H$16)-SUMIFS(IncPayAmount,IncDocDate,"&lt;="&amp;$H$17,IncPayDate,"&lt;="&amp;$H$17,IncInvoice,$C41,IncCus,$H$16),"")</f>
        <v/>
      </c>
      <c r="H41" s="131" t="str">
        <f>IF(LEN($C41)&gt;1,SUM(G$31:G41),"")</f>
        <v/>
      </c>
      <c r="I41" s="64"/>
    </row>
    <row r="42" spans="2:9" ht="15.95" customHeight="1" x14ac:dyDescent="0.25">
      <c r="B42" s="129"/>
      <c r="C42" s="130" t="str">
        <f t="array" ref="C42">IF(ISERROR(INDEX(Income[],SMALL(IF(IncStatus=1,ROW(IncStatus)-4),ROW(12:12)),COLUMN(Income!$A$4)))=TRUE,"",INDEX(Income[],SMALL(IF(IncStatus=1,ROW(IncStatus)-4),ROW(12:12)),COLUMN(Income!$A$4)))</f>
        <v/>
      </c>
      <c r="D42" s="174" t="str">
        <f t="array" ref="D42">IF(ISERROR(INDEX(Income[],SMALL(IF(IncStatus=1,ROW(IncStatus)-4),ROW(12:12)),COLUMN(Income!$B$4)))=TRUE,"",INDEX(Income[],SMALL(IF(IncStatus=1,ROW(IncStatus)-4),ROW(12:12)),COLUMN(Income!$B$4)))</f>
        <v/>
      </c>
      <c r="E42" s="103" t="str">
        <f t="shared" si="2"/>
        <v/>
      </c>
      <c r="F42" s="34"/>
      <c r="G42" s="131" t="str" cm="1">
        <f t="array" ref="G42">IF(LEN($C42)&gt;1,SUMIFS(IncIncl,IncDocDate,"&lt;="&amp;$H$17,IncInvoice,$C42,IncCus,$H$16)-SUMIFS(IncPayAmount,IncDocDate,"&lt;="&amp;$H$17,IncPayDate,"&lt;="&amp;$H$17,IncInvoice,$C42,IncCus,$H$16),"")</f>
        <v/>
      </c>
      <c r="H42" s="131" t="str">
        <f>IF(LEN($C42)&gt;1,SUM(G$31:G42),"")</f>
        <v/>
      </c>
      <c r="I42" s="64"/>
    </row>
    <row r="43" spans="2:9" ht="15.95" customHeight="1" x14ac:dyDescent="0.25">
      <c r="B43" s="129"/>
      <c r="C43" s="130" t="str">
        <f t="array" ref="C43">IF(ISERROR(INDEX(Income[],SMALL(IF(IncStatus=1,ROW(IncStatus)-4),ROW(13:13)),COLUMN(Income!$A$4)))=TRUE,"",INDEX(Income[],SMALL(IF(IncStatus=1,ROW(IncStatus)-4),ROW(13:13)),COLUMN(Income!$A$4)))</f>
        <v/>
      </c>
      <c r="D43" s="174" t="str">
        <f t="array" ref="D43">IF(ISERROR(INDEX(Income[],SMALL(IF(IncStatus=1,ROW(IncStatus)-4),ROW(13:13)),COLUMN(Income!$B$4)))=TRUE,"",INDEX(Income[],SMALL(IF(IncStatus=1,ROW(IncStatus)-4),ROW(13:13)),COLUMN(Income!$B$4)))</f>
        <v/>
      </c>
      <c r="E43" s="103" t="str">
        <f t="shared" si="2"/>
        <v/>
      </c>
      <c r="F43" s="34"/>
      <c r="G43" s="131" t="str" cm="1">
        <f t="array" ref="G43">IF(LEN($C43)&gt;1,SUMIFS(IncIncl,IncDocDate,"&lt;="&amp;$H$17,IncInvoice,$C43,IncCus,$H$16)-SUMIFS(IncPayAmount,IncDocDate,"&lt;="&amp;$H$17,IncPayDate,"&lt;="&amp;$H$17,IncInvoice,$C43,IncCus,$H$16),"")</f>
        <v/>
      </c>
      <c r="H43" s="131" t="str">
        <f>IF(LEN($C43)&gt;1,SUM(G$31:G43),"")</f>
        <v/>
      </c>
      <c r="I43" s="64"/>
    </row>
    <row r="44" spans="2:9" ht="15.95" customHeight="1" x14ac:dyDescent="0.25">
      <c r="B44" s="129"/>
      <c r="C44" s="130" t="str">
        <f t="array" ref="C44">IF(ISERROR(INDEX(Income[],SMALL(IF(IncStatus=1,ROW(IncStatus)-4),ROW(14:14)),COLUMN(Income!$A$4)))=TRUE,"",INDEX(Income[],SMALL(IF(IncStatus=1,ROW(IncStatus)-4),ROW(14:14)),COLUMN(Income!$A$4)))</f>
        <v/>
      </c>
      <c r="D44" s="174" t="str">
        <f t="array" ref="D44">IF(ISERROR(INDEX(Income[],SMALL(IF(IncStatus=1,ROW(IncStatus)-4),ROW(14:14)),COLUMN(Income!$B$4)))=TRUE,"",INDEX(Income[],SMALL(IF(IncStatus=1,ROW(IncStatus)-4),ROW(14:14)),COLUMN(Income!$B$4)))</f>
        <v/>
      </c>
      <c r="E44" s="103" t="str">
        <f t="shared" si="2"/>
        <v/>
      </c>
      <c r="F44" s="34"/>
      <c r="G44" s="131" t="str" cm="1">
        <f t="array" ref="G44">IF(LEN($C44)&gt;1,SUMIFS(IncIncl,IncDocDate,"&lt;="&amp;$H$17,IncInvoice,$C44,IncCus,$H$16)-SUMIFS(IncPayAmount,IncDocDate,"&lt;="&amp;$H$17,IncPayDate,"&lt;="&amp;$H$17,IncInvoice,$C44,IncCus,$H$16),"")</f>
        <v/>
      </c>
      <c r="H44" s="131" t="str">
        <f>IF(LEN($C44)&gt;1,SUM(G$31:G44),"")</f>
        <v/>
      </c>
      <c r="I44" s="64"/>
    </row>
    <row r="45" spans="2:9" ht="15.95" customHeight="1" x14ac:dyDescent="0.25">
      <c r="B45" s="129"/>
      <c r="C45" s="130" t="str">
        <f t="array" ref="C45">IF(ISERROR(INDEX(Income[],SMALL(IF(IncStatus=1,ROW(IncStatus)-4),ROW(15:15)),COLUMN(Income!$A$4)))=TRUE,"",INDEX(Income[],SMALL(IF(IncStatus=1,ROW(IncStatus)-4),ROW(15:15)),COLUMN(Income!$A$4)))</f>
        <v/>
      </c>
      <c r="D45" s="174" t="str">
        <f t="array" ref="D45">IF(ISERROR(INDEX(Income[],SMALL(IF(IncStatus=1,ROW(IncStatus)-4),ROW(15:15)),COLUMN(Income!$B$4)))=TRUE,"",INDEX(Income[],SMALL(IF(IncStatus=1,ROW(IncStatus)-4),ROW(15:15)),COLUMN(Income!$B$4)))</f>
        <v/>
      </c>
      <c r="E45" s="103" t="str">
        <f t="shared" si="2"/>
        <v/>
      </c>
      <c r="F45" s="34"/>
      <c r="G45" s="131" t="str" cm="1">
        <f t="array" ref="G45">IF(LEN($C45)&gt;1,SUMIFS(IncIncl,IncDocDate,"&lt;="&amp;$H$17,IncInvoice,$C45,IncCus,$H$16)-SUMIFS(IncPayAmount,IncDocDate,"&lt;="&amp;$H$17,IncPayDate,"&lt;="&amp;$H$17,IncInvoice,$C45,IncCus,$H$16),"")</f>
        <v/>
      </c>
      <c r="H45" s="131" t="str">
        <f>IF(LEN($C45)&gt;1,SUM(G$31:G45),"")</f>
        <v/>
      </c>
      <c r="I45" s="64"/>
    </row>
    <row r="46" spans="2:9" ht="15.95" customHeight="1" x14ac:dyDescent="0.25">
      <c r="B46" s="129"/>
      <c r="C46" s="130" t="str">
        <f t="array" ref="C46">IF(ISERROR(INDEX(Income[],SMALL(IF(IncStatus=1,ROW(IncStatus)-4),ROW(16:16)),COLUMN(Income!$A$4)))=TRUE,"",INDEX(Income[],SMALL(IF(IncStatus=1,ROW(IncStatus)-4),ROW(16:16)),COLUMN(Income!$A$4)))</f>
        <v/>
      </c>
      <c r="D46" s="174" t="str">
        <f t="array" ref="D46">IF(ISERROR(INDEX(Income[],SMALL(IF(IncStatus=1,ROW(IncStatus)-4),ROW(16:16)),COLUMN(Income!$B$4)))=TRUE,"",INDEX(Income[],SMALL(IF(IncStatus=1,ROW(IncStatus)-4),ROW(16:16)),COLUMN(Income!$B$4)))</f>
        <v/>
      </c>
      <c r="E46" s="103" t="str">
        <f t="shared" si="2"/>
        <v/>
      </c>
      <c r="F46" s="34"/>
      <c r="G46" s="131" t="str" cm="1">
        <f t="array" ref="G46">IF(LEN($C46)&gt;1,SUMIFS(IncIncl,IncDocDate,"&lt;="&amp;$H$17,IncInvoice,$C46,IncCus,$H$16)-SUMIFS(IncPayAmount,IncDocDate,"&lt;="&amp;$H$17,IncPayDate,"&lt;="&amp;$H$17,IncInvoice,$C46,IncCus,$H$16),"")</f>
        <v/>
      </c>
      <c r="H46" s="131" t="str">
        <f>IF(LEN($C46)&gt;1,SUM(G$31:G46),"")</f>
        <v/>
      </c>
      <c r="I46" s="64"/>
    </row>
    <row r="47" spans="2:9" ht="15.95" customHeight="1" x14ac:dyDescent="0.25">
      <c r="B47" s="129"/>
      <c r="C47" s="130" t="str">
        <f t="array" ref="C47">IF(ISERROR(INDEX(Income[],SMALL(IF(IncStatus=1,ROW(IncStatus)-4),ROW(17:17)),COLUMN(Income!$A$4)))=TRUE,"",INDEX(Income[],SMALL(IF(IncStatus=1,ROW(IncStatus)-4),ROW(17:17)),COLUMN(Income!$A$4)))</f>
        <v/>
      </c>
      <c r="D47" s="174" t="str">
        <f t="array" ref="D47">IF(ISERROR(INDEX(Income[],SMALL(IF(IncStatus=1,ROW(IncStatus)-4),ROW(17:17)),COLUMN(Income!$B$4)))=TRUE,"",INDEX(Income[],SMALL(IF(IncStatus=1,ROW(IncStatus)-4),ROW(17:17)),COLUMN(Income!$B$4)))</f>
        <v/>
      </c>
      <c r="E47" s="103" t="str">
        <f t="shared" si="2"/>
        <v/>
      </c>
      <c r="F47" s="34"/>
      <c r="G47" s="131" t="str" cm="1">
        <f t="array" ref="G47">IF(LEN($C47)&gt;1,SUMIFS(IncIncl,IncDocDate,"&lt;="&amp;$H$17,IncInvoice,$C47,IncCus,$H$16)-SUMIFS(IncPayAmount,IncDocDate,"&lt;="&amp;$H$17,IncPayDate,"&lt;="&amp;$H$17,IncInvoice,$C47,IncCus,$H$16),"")</f>
        <v/>
      </c>
      <c r="H47" s="131" t="str">
        <f>IF(LEN($C47)&gt;1,SUM(G$31:G47),"")</f>
        <v/>
      </c>
      <c r="I47" s="64"/>
    </row>
    <row r="48" spans="2:9" s="110" customFormat="1" ht="15.95" customHeight="1" x14ac:dyDescent="0.25">
      <c r="B48" s="132"/>
      <c r="C48" s="175" t="str">
        <f t="array" ref="C48">IF(ISERROR(INDEX(Income[],SMALL(IF(IncStatus=1,ROW(IncStatus)-4),ROW(18:18)),COLUMN(Income!$A$4)))=TRUE,"",INDEX(Income[],SMALL(IF(IncStatus=1,ROW(IncStatus)-4),ROW(18:18)),COLUMN(Income!$A$4)))</f>
        <v/>
      </c>
      <c r="D48" s="174" t="str">
        <f t="array" ref="D48">IF(ISERROR(INDEX(Income[],SMALL(IF(IncStatus=1,ROW(IncStatus)-4),ROW(18:18)),COLUMN(Income!$B$4)))=TRUE,"",INDEX(Income[],SMALL(IF(IncStatus=1,ROW(IncStatus)-4),ROW(18:18)),COLUMN(Income!$B$4)))</f>
        <v/>
      </c>
      <c r="E48" s="103" t="str">
        <f t="shared" si="2"/>
        <v/>
      </c>
      <c r="F48" s="176"/>
      <c r="G48" s="131" t="str" cm="1">
        <f t="array" ref="G48">IF(LEN($C48)&gt;1,SUMIFS(IncIncl,IncDocDate,"&lt;="&amp;$H$17,IncInvoice,$C48,IncCus,$H$16)-SUMIFS(IncPayAmount,IncDocDate,"&lt;="&amp;$H$17,IncPayDate,"&lt;="&amp;$H$17,IncInvoice,$C48,IncCus,$H$16),"")</f>
        <v/>
      </c>
      <c r="H48" s="131" t="str">
        <f>IF(LEN($C48)&gt;1,SUM(G$31:G48),"")</f>
        <v/>
      </c>
      <c r="I48" s="106"/>
    </row>
    <row r="49" spans="2:9" ht="15.95" customHeight="1" x14ac:dyDescent="0.25">
      <c r="B49" s="64"/>
      <c r="C49" s="130" t="str">
        <f t="array" ref="C49">IF(ISERROR(INDEX(Income[],SMALL(IF(IncStatus=1,ROW(IncStatus)-4),ROW(19:19)),COLUMN(Income!$A$4)))=TRUE,"",INDEX(Income[],SMALL(IF(IncStatus=1,ROW(IncStatus)-4),ROW(19:19)),COLUMN(Income!$A$4)))</f>
        <v/>
      </c>
      <c r="D49" s="174" t="str">
        <f t="array" ref="D49">IF(ISERROR(INDEX(Income[],SMALL(IF(IncStatus=1,ROW(IncStatus)-4),ROW(19:19)),COLUMN(Income!$B$4)))=TRUE,"",INDEX(Income[],SMALL(IF(IncStatus=1,ROW(IncStatus)-4),ROW(19:19)),COLUMN(Income!$B$4)))</f>
        <v/>
      </c>
      <c r="E49" s="103" t="str">
        <f t="shared" si="2"/>
        <v/>
      </c>
      <c r="F49" s="64"/>
      <c r="G49" s="131" t="str" cm="1">
        <f t="array" ref="G49">IF(LEN($C49)&gt;1,SUMIFS(IncIncl,IncDocDate,"&lt;="&amp;$H$17,IncInvoice,$C49,IncCus,$H$16)-SUMIFS(IncPayAmount,IncDocDate,"&lt;="&amp;$H$17,IncPayDate,"&lt;="&amp;$H$17,IncInvoice,$C49,IncCus,$H$16),"")</f>
        <v/>
      </c>
      <c r="H49" s="131" t="str">
        <f>IF(LEN($C49)&gt;1,SUM(G$31:G49),"")</f>
        <v/>
      </c>
      <c r="I49" s="64"/>
    </row>
    <row r="50" spans="2:9" ht="15.95" customHeight="1" x14ac:dyDescent="0.25">
      <c r="B50" s="64"/>
      <c r="C50" s="130" t="str">
        <f t="array" ref="C50">IF(ISERROR(INDEX(Income[],SMALL(IF(IncStatus=1,ROW(IncStatus)-4),ROW(20:20)),COLUMN(Income!$A$4)))=TRUE,"",INDEX(Income[],SMALL(IF(IncStatus=1,ROW(IncStatus)-4),ROW(20:20)),COLUMN(Income!$A$4)))</f>
        <v/>
      </c>
      <c r="D50" s="174" t="str">
        <f t="array" ref="D50">IF(ISERROR(INDEX(Income[],SMALL(IF(IncStatus=1,ROW(IncStatus)-4),ROW(20:20)),COLUMN(Income!$B$4)))=TRUE,"",INDEX(Income[],SMALL(IF(IncStatus=1,ROW(IncStatus)-4),ROW(20:20)),COLUMN(Income!$B$4)))</f>
        <v/>
      </c>
      <c r="E50" s="103" t="str">
        <f t="shared" si="2"/>
        <v/>
      </c>
      <c r="F50" s="64"/>
      <c r="G50" s="131" t="str" cm="1">
        <f t="array" ref="G50">IF(LEN($C50)&gt;1,SUMIFS(IncIncl,IncDocDate,"&lt;="&amp;$H$17,IncInvoice,$C50,IncCus,$H$16)-SUMIFS(IncPayAmount,IncDocDate,"&lt;="&amp;$H$17,IncPayDate,"&lt;="&amp;$H$17,IncInvoice,$C50,IncCus,$H$16),"")</f>
        <v/>
      </c>
      <c r="H50" s="131" t="str">
        <f>IF(LEN($C50)&gt;1,SUM(G$31:G50),"")</f>
        <v/>
      </c>
      <c r="I50" s="64"/>
    </row>
    <row r="51" spans="2:9" ht="15.95" customHeight="1" x14ac:dyDescent="0.25">
      <c r="B51" s="64"/>
      <c r="C51" s="130" t="str">
        <f t="array" ref="C51">IF(ISERROR(INDEX(Income[],SMALL(IF(IncStatus=1,ROW(IncStatus)-4),ROW(21:21)),COLUMN(Income!$A$4)))=TRUE,"",INDEX(Income[],SMALL(IF(IncStatus=1,ROW(IncStatus)-4),ROW(21:21)),COLUMN(Income!$A$4)))</f>
        <v/>
      </c>
      <c r="D51" s="174" t="str">
        <f t="array" ref="D51">IF(ISERROR(INDEX(Income[],SMALL(IF(IncStatus=1,ROW(IncStatus)-4),ROW(21:21)),COLUMN(Income!$B$4)))=TRUE,"",INDEX(Income[],SMALL(IF(IncStatus=1,ROW(IncStatus)-4),ROW(21:21)),COLUMN(Income!$B$4)))</f>
        <v/>
      </c>
      <c r="E51" s="103" t="str">
        <f t="shared" si="2"/>
        <v/>
      </c>
      <c r="F51" s="64"/>
      <c r="G51" s="131" t="str" cm="1">
        <f t="array" ref="G51">IF(LEN($C51)&gt;1,SUMIFS(IncIncl,IncDocDate,"&lt;="&amp;$H$17,IncInvoice,$C51,IncCus,$H$16)-SUMIFS(IncPayAmount,IncDocDate,"&lt;="&amp;$H$17,IncPayDate,"&lt;="&amp;$H$17,IncInvoice,$C51,IncCus,$H$16),"")</f>
        <v/>
      </c>
      <c r="H51" s="131" t="str">
        <f>IF(LEN($C51)&gt;1,SUM(G$31:G51),"")</f>
        <v/>
      </c>
      <c r="I51" s="64"/>
    </row>
    <row r="52" spans="2:9" ht="15.95" customHeight="1" x14ac:dyDescent="0.25">
      <c r="B52" s="64"/>
      <c r="C52" s="130" t="str">
        <f t="array" ref="C52">IF(ISERROR(INDEX(Income[],SMALL(IF(IncStatus=1,ROW(IncStatus)-4),ROW(22:22)),COLUMN(Income!$A$4)))=TRUE,"",INDEX(Income[],SMALL(IF(IncStatus=1,ROW(IncStatus)-4),ROW(22:22)),COLUMN(Income!$A$4)))</f>
        <v/>
      </c>
      <c r="D52" s="174" t="str">
        <f t="array" ref="D52">IF(ISERROR(INDEX(Income[],SMALL(IF(IncStatus=1,ROW(IncStatus)-4),ROW(22:22)),COLUMN(Income!$B$4)))=TRUE,"",INDEX(Income[],SMALL(IF(IncStatus=1,ROW(IncStatus)-4),ROW(22:22)),COLUMN(Income!$B$4)))</f>
        <v/>
      </c>
      <c r="E52" s="103" t="str">
        <f t="shared" si="2"/>
        <v/>
      </c>
      <c r="F52" s="64"/>
      <c r="G52" s="131" t="str" cm="1">
        <f t="array" ref="G52">IF(LEN($C52)&gt;1,SUMIFS(IncIncl,IncDocDate,"&lt;="&amp;$H$17,IncInvoice,$C52,IncCus,$H$16)-SUMIFS(IncPayAmount,IncDocDate,"&lt;="&amp;$H$17,IncPayDate,"&lt;="&amp;$H$17,IncInvoice,$C52,IncCus,$H$16),"")</f>
        <v/>
      </c>
      <c r="H52" s="131" t="str">
        <f>IF(LEN($C52)&gt;1,SUM(G$31:G52),"")</f>
        <v/>
      </c>
      <c r="I52" s="64"/>
    </row>
    <row r="53" spans="2:9" ht="15.95" customHeight="1" x14ac:dyDescent="0.25">
      <c r="B53" s="64"/>
      <c r="C53" s="130" t="str">
        <f t="array" ref="C53">IF(ISERROR(INDEX(Income[],SMALL(IF(IncStatus=1,ROW(IncStatus)-4),ROW(23:23)),COLUMN(Income!$A$4)))=TRUE,"",INDEX(Income[],SMALL(IF(IncStatus=1,ROW(IncStatus)-4),ROW(23:23)),COLUMN(Income!$A$4)))</f>
        <v/>
      </c>
      <c r="D53" s="174" t="str">
        <f t="array" ref="D53">IF(ISERROR(INDEX(Income[],SMALL(IF(IncStatus=1,ROW(IncStatus)-4),ROW(23:23)),COLUMN(Income!$B$4)))=TRUE,"",INDEX(Income[],SMALL(IF(IncStatus=1,ROW(IncStatus)-4),ROW(23:23)),COLUMN(Income!$B$4)))</f>
        <v/>
      </c>
      <c r="E53" s="103" t="str">
        <f t="shared" si="2"/>
        <v/>
      </c>
      <c r="F53" s="64"/>
      <c r="G53" s="131" t="str" cm="1">
        <f t="array" ref="G53">IF(LEN($C53)&gt;1,SUMIFS(IncIncl,IncDocDate,"&lt;="&amp;$H$17,IncInvoice,$C53,IncCus,$H$16)-SUMIFS(IncPayAmount,IncDocDate,"&lt;="&amp;$H$17,IncPayDate,"&lt;="&amp;$H$17,IncInvoice,$C53,IncCus,$H$16),"")</f>
        <v/>
      </c>
      <c r="H53" s="131" t="str">
        <f>IF(LEN($C53)&gt;1,SUM(G$31:G53),"")</f>
        <v/>
      </c>
      <c r="I53" s="64"/>
    </row>
    <row r="54" spans="2:9" ht="15.95" customHeight="1" x14ac:dyDescent="0.25">
      <c r="B54" s="64"/>
      <c r="C54" s="130" t="str">
        <f t="array" ref="C54">IF(ISERROR(INDEX(Income[],SMALL(IF(IncStatus=1,ROW(IncStatus)-4),ROW(24:24)),COLUMN(Income!$A$4)))=TRUE,"",INDEX(Income[],SMALL(IF(IncStatus=1,ROW(IncStatus)-4),ROW(24:24)),COLUMN(Income!$A$4)))</f>
        <v/>
      </c>
      <c r="D54" s="174" t="str">
        <f t="array" ref="D54">IF(ISERROR(INDEX(Income[],SMALL(IF(IncStatus=1,ROW(IncStatus)-4),ROW(24:24)),COLUMN(Income!$B$4)))=TRUE,"",INDEX(Income[],SMALL(IF(IncStatus=1,ROW(IncStatus)-4),ROW(24:24)),COLUMN(Income!$B$4)))</f>
        <v/>
      </c>
      <c r="E54" s="103" t="str">
        <f t="shared" si="2"/>
        <v/>
      </c>
      <c r="F54" s="64"/>
      <c r="G54" s="131" t="str" cm="1">
        <f t="array" ref="G54">IF(LEN($C54)&gt;1,SUMIFS(IncIncl,IncDocDate,"&lt;="&amp;$H$17,IncInvoice,$C54,IncCus,$H$16)-SUMIFS(IncPayAmount,IncDocDate,"&lt;="&amp;$H$17,IncPayDate,"&lt;="&amp;$H$17,IncInvoice,$C54,IncCus,$H$16),"")</f>
        <v/>
      </c>
      <c r="H54" s="131" t="str">
        <f>IF(LEN($C54)&gt;1,SUM(G$31:G54),"")</f>
        <v/>
      </c>
      <c r="I54" s="64"/>
    </row>
    <row r="55" spans="2:9" ht="15.95" customHeight="1" x14ac:dyDescent="0.25">
      <c r="B55" s="64"/>
      <c r="C55" s="130" t="str">
        <f t="array" ref="C55">IF(ISERROR(INDEX(Income[],SMALL(IF(IncStatus=1,ROW(IncStatus)-4),ROW(25:25)),COLUMN(Income!$A$4)))=TRUE,"",INDEX(Income[],SMALL(IF(IncStatus=1,ROW(IncStatus)-4),ROW(25:25)),COLUMN(Income!$A$4)))</f>
        <v/>
      </c>
      <c r="D55" s="174" t="str">
        <f t="array" ref="D55">IF(ISERROR(INDEX(Income[],SMALL(IF(IncStatus=1,ROW(IncStatus)-4),ROW(25:25)),COLUMN(Income!$B$4)))=TRUE,"",INDEX(Income[],SMALL(IF(IncStatus=1,ROW(IncStatus)-4),ROW(25:25)),COLUMN(Income!$B$4)))</f>
        <v/>
      </c>
      <c r="E55" s="103" t="str">
        <f t="shared" si="2"/>
        <v/>
      </c>
      <c r="F55" s="64"/>
      <c r="G55" s="131" t="str" cm="1">
        <f t="array" ref="G55">IF(LEN($C55)&gt;1,SUMIFS(IncIncl,IncDocDate,"&lt;="&amp;$H$17,IncInvoice,$C55,IncCus,$H$16)-SUMIFS(IncPayAmount,IncDocDate,"&lt;="&amp;$H$17,IncPayDate,"&lt;="&amp;$H$17,IncInvoice,$C55,IncCus,$H$16),"")</f>
        <v/>
      </c>
      <c r="H55" s="131" t="str">
        <f>IF(LEN($C55)&gt;1,SUM(G$31:G55),"")</f>
        <v/>
      </c>
      <c r="I55" s="64"/>
    </row>
    <row r="56" spans="2:9" ht="15.95" customHeight="1" x14ac:dyDescent="0.25">
      <c r="B56" s="64"/>
      <c r="C56" s="130" t="str">
        <f t="array" ref="C56">IF(ISERROR(INDEX(Income[],SMALL(IF(IncStatus=1,ROW(IncStatus)-4),ROW(26:26)),COLUMN(Income!$A$4)))=TRUE,"",INDEX(Income[],SMALL(IF(IncStatus=1,ROW(IncStatus)-4),ROW(26:26)),COLUMN(Income!$A$4)))</f>
        <v/>
      </c>
      <c r="D56" s="174" t="str">
        <f t="array" ref="D56">IF(ISERROR(INDEX(Income[],SMALL(IF(IncStatus=1,ROW(IncStatus)-4),ROW(26:26)),COLUMN(Income!$B$4)))=TRUE,"",INDEX(Income[],SMALL(IF(IncStatus=1,ROW(IncStatus)-4),ROW(26:26)),COLUMN(Income!$B$4)))</f>
        <v/>
      </c>
      <c r="E56" s="103" t="str">
        <f t="shared" si="2"/>
        <v/>
      </c>
      <c r="F56" s="64"/>
      <c r="G56" s="131" t="str" cm="1">
        <f t="array" ref="G56">IF(LEN($C56)&gt;1,SUMIFS(IncIncl,IncDocDate,"&lt;="&amp;$H$17,IncInvoice,$C56,IncCus,$H$16)-SUMIFS(IncPayAmount,IncDocDate,"&lt;="&amp;$H$17,IncPayDate,"&lt;="&amp;$H$17,IncInvoice,$C56,IncCus,$H$16),"")</f>
        <v/>
      </c>
      <c r="H56" s="131" t="str">
        <f>IF(LEN($C56)&gt;1,SUM(G$31:G56),"")</f>
        <v/>
      </c>
      <c r="I56" s="64"/>
    </row>
    <row r="57" spans="2:9" ht="15.95" customHeight="1" x14ac:dyDescent="0.25">
      <c r="B57" s="64"/>
      <c r="C57" s="130" t="str">
        <f t="array" ref="C57">IF(ISERROR(INDEX(Income[],SMALL(IF(IncStatus=1,ROW(IncStatus)-4),ROW(27:27)),COLUMN(Income!$A$4)))=TRUE,"",INDEX(Income[],SMALL(IF(IncStatus=1,ROW(IncStatus)-4),ROW(27:27)),COLUMN(Income!$A$4)))</f>
        <v/>
      </c>
      <c r="D57" s="174" t="str">
        <f t="array" ref="D57">IF(ISERROR(INDEX(Income[],SMALL(IF(IncStatus=1,ROW(IncStatus)-4),ROW(27:27)),COLUMN(Income!$B$4)))=TRUE,"",INDEX(Income[],SMALL(IF(IncStatus=1,ROW(IncStatus)-4),ROW(27:27)),COLUMN(Income!$B$4)))</f>
        <v/>
      </c>
      <c r="E57" s="103" t="str">
        <f t="shared" si="2"/>
        <v/>
      </c>
      <c r="F57" s="64"/>
      <c r="G57" s="131" t="str" cm="1">
        <f t="array" ref="G57">IF(LEN($C57)&gt;1,SUMIFS(IncIncl,IncDocDate,"&lt;="&amp;$H$17,IncInvoice,$C57,IncCus,$H$16)-SUMIFS(IncPayAmount,IncDocDate,"&lt;="&amp;$H$17,IncPayDate,"&lt;="&amp;$H$17,IncInvoice,$C57,IncCus,$H$16),"")</f>
        <v/>
      </c>
      <c r="H57" s="131" t="str">
        <f>IF(LEN($C57)&gt;1,SUM(G$31:G57),"")</f>
        <v/>
      </c>
      <c r="I57" s="64"/>
    </row>
    <row r="58" spans="2:9" ht="15.95" customHeight="1" x14ac:dyDescent="0.25">
      <c r="B58" s="64"/>
      <c r="C58" s="130" t="str">
        <f t="array" ref="C58">IF(ISERROR(INDEX(Income[],SMALL(IF(IncStatus=1,ROW(IncStatus)-4),ROW(28:28)),COLUMN(Income!$A$4)))=TRUE,"",INDEX(Income[],SMALL(IF(IncStatus=1,ROW(IncStatus)-4),ROW(28:28)),COLUMN(Income!$A$4)))</f>
        <v/>
      </c>
      <c r="D58" s="174" t="str">
        <f t="array" ref="D58">IF(ISERROR(INDEX(Income[],SMALL(IF(IncStatus=1,ROW(IncStatus)-4),ROW(28:28)),COLUMN(Income!$B$4)))=TRUE,"",INDEX(Income[],SMALL(IF(IncStatus=1,ROW(IncStatus)-4),ROW(28:28)),COLUMN(Income!$B$4)))</f>
        <v/>
      </c>
      <c r="E58" s="103" t="str">
        <f t="shared" si="2"/>
        <v/>
      </c>
      <c r="F58" s="64"/>
      <c r="G58" s="131" t="str" cm="1">
        <f t="array" ref="G58">IF(LEN($C58)&gt;1,SUMIFS(IncIncl,IncDocDate,"&lt;="&amp;$H$17,IncInvoice,$C58,IncCus,$H$16)-SUMIFS(IncPayAmount,IncDocDate,"&lt;="&amp;$H$17,IncPayDate,"&lt;="&amp;$H$17,IncInvoice,$C58,IncCus,$H$16),"")</f>
        <v/>
      </c>
      <c r="H58" s="131" t="str">
        <f>IF(LEN($C58)&gt;1,SUM(G$31:G58),"")</f>
        <v/>
      </c>
      <c r="I58" s="64"/>
    </row>
    <row r="59" spans="2:9" ht="15.95" customHeight="1" x14ac:dyDescent="0.25">
      <c r="B59" s="64"/>
      <c r="C59" s="130" t="str">
        <f t="array" ref="C59">IF(ISERROR(INDEX(Income[],SMALL(IF(IncStatus=1,ROW(IncStatus)-4),ROW(29:29)),COLUMN(Income!$A$4)))=TRUE,"",INDEX(Income[],SMALL(IF(IncStatus=1,ROW(IncStatus)-4),ROW(29:29)),COLUMN(Income!$A$4)))</f>
        <v/>
      </c>
      <c r="D59" s="174" t="str">
        <f t="array" ref="D59">IF(ISERROR(INDEX(Income[],SMALL(IF(IncStatus=1,ROW(IncStatus)-4),ROW(29:29)),COLUMN(Income!$B$4)))=TRUE,"",INDEX(Income[],SMALL(IF(IncStatus=1,ROW(IncStatus)-4),ROW(29:29)),COLUMN(Income!$B$4)))</f>
        <v/>
      </c>
      <c r="E59" s="103" t="str">
        <f t="shared" si="2"/>
        <v/>
      </c>
      <c r="F59" s="64"/>
      <c r="G59" s="131" t="str" cm="1">
        <f t="array" ref="G59">IF(LEN($C59)&gt;1,SUMIFS(IncIncl,IncDocDate,"&lt;="&amp;$H$17,IncInvoice,$C59,IncCus,$H$16)-SUMIFS(IncPayAmount,IncDocDate,"&lt;="&amp;$H$17,IncPayDate,"&lt;="&amp;$H$17,IncInvoice,$C59,IncCus,$H$16),"")</f>
        <v/>
      </c>
      <c r="H59" s="131" t="str">
        <f>IF(LEN($C59)&gt;1,SUM(G$31:G59),"")</f>
        <v/>
      </c>
      <c r="I59" s="64"/>
    </row>
    <row r="60" spans="2:9" ht="15.95" customHeight="1" x14ac:dyDescent="0.25">
      <c r="B60" s="64"/>
      <c r="C60" s="130" t="str">
        <f t="array" ref="C60">IF(ISERROR(INDEX(Income[],SMALL(IF(IncStatus=1,ROW(IncStatus)-4),ROW(30:30)),COLUMN(Income!$A$4)))=TRUE,"",INDEX(Income[],SMALL(IF(IncStatus=1,ROW(IncStatus)-4),ROW(30:30)),COLUMN(Income!$A$4)))</f>
        <v/>
      </c>
      <c r="D60" s="174" t="str">
        <f t="array" ref="D60">IF(ISERROR(INDEX(Income[],SMALL(IF(IncStatus=1,ROW(IncStatus)-4),ROW(30:30)),COLUMN(Income!$B$4)))=TRUE,"",INDEX(Income[],SMALL(IF(IncStatus=1,ROW(IncStatus)-4),ROW(30:30)),COLUMN(Income!$B$4)))</f>
        <v/>
      </c>
      <c r="E60" s="103" t="str">
        <f t="shared" si="2"/>
        <v/>
      </c>
      <c r="F60" s="64"/>
      <c r="G60" s="131" t="str" cm="1">
        <f t="array" ref="G60">IF(LEN($C60)&gt;1,SUMIFS(IncIncl,IncDocDate,"&lt;="&amp;$H$17,IncInvoice,$C60,IncCus,$H$16)-SUMIFS(IncPayAmount,IncDocDate,"&lt;="&amp;$H$17,IncPayDate,"&lt;="&amp;$H$17,IncInvoice,$C60,IncCus,$H$16),"")</f>
        <v/>
      </c>
      <c r="H60" s="131" t="str">
        <f>IF(LEN($C60)&gt;1,SUM(G$31:G60),"")</f>
        <v/>
      </c>
      <c r="I60" s="64"/>
    </row>
    <row r="61" spans="2:9" ht="15.95" customHeight="1" x14ac:dyDescent="0.25">
      <c r="B61" s="64"/>
      <c r="C61" s="64"/>
      <c r="D61" s="174"/>
      <c r="E61" s="103"/>
      <c r="F61" s="64"/>
      <c r="G61" s="131"/>
      <c r="H61" s="131"/>
      <c r="I61" s="64"/>
    </row>
    <row r="62" spans="2:9" ht="15.95" customHeight="1" x14ac:dyDescent="0.25">
      <c r="G62" s="100"/>
      <c r="H62" s="100"/>
    </row>
  </sheetData>
  <mergeCells count="1">
    <mergeCell ref="C14:H14"/>
  </mergeCells>
  <dataValidations count="2">
    <dataValidation type="list" allowBlank="1" showInputMessage="1" showErrorMessage="1" errorTitle="Invalid Data" error="Select a valid item from the list box." sqref="H16" xr:uid="{00000000-0002-0000-0900-000000000000}">
      <formula1>CustomerCode</formula1>
    </dataValidation>
    <dataValidation type="date" operator="greaterThan" allowBlank="1" showInputMessage="1" showErrorMessage="1" errorTitle="Invalid Date" error="Enter a valid date in accordance with the regional date settings that are specified in the System Control Panel." sqref="H17" xr:uid="{00000000-0002-0000-0900-000001000000}">
      <formula1>36526</formula1>
    </dataValidation>
  </dataValidations>
  <pageMargins left="0.59055118110236227" right="0.59055118110236227" top="0.59055118110236227" bottom="0.59055118110236227" header="0.39370078740157483" footer="0.39370078740157483"/>
  <pageSetup paperSize="9" scale="82"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P300"/>
  <sheetViews>
    <sheetView zoomScale="95" zoomScaleNormal="95" workbookViewId="0">
      <pane ySplit="4" topLeftCell="A5" activePane="bottomLeft" state="frozen"/>
      <selection pane="bottomLeft" activeCell="I18" sqref="I18"/>
    </sheetView>
  </sheetViews>
  <sheetFormatPr defaultColWidth="9.140625" defaultRowHeight="15.95" customHeight="1" x14ac:dyDescent="0.25"/>
  <cols>
    <col min="1" max="1" width="12.5703125" style="345" customWidth="1"/>
    <col min="2" max="2" width="20.5703125" style="318" customWidth="1"/>
    <col min="3" max="3" width="16" style="318" customWidth="1"/>
    <col min="4" max="4" width="26.5703125" style="318" customWidth="1"/>
    <col min="5" max="5" width="14.5703125" style="342" customWidth="1"/>
    <col min="6" max="8" width="8.85546875" style="308" customWidth="1"/>
    <col min="9" max="9" width="14.5703125" style="338" customWidth="1"/>
    <col min="10" max="10" width="11.5703125" style="346" customWidth="1"/>
    <col min="11" max="11" width="14.5703125" style="308" customWidth="1"/>
    <col min="12" max="15" width="14.5703125" style="342" customWidth="1"/>
    <col min="16" max="16" width="8.5703125" style="338" customWidth="1"/>
    <col min="17" max="24" width="12.5703125" style="318" customWidth="1"/>
    <col min="25" max="16384" width="9.140625" style="318"/>
  </cols>
  <sheetData>
    <row r="1" spans="1:16" ht="15.95" customHeight="1" x14ac:dyDescent="0.25">
      <c r="A1" s="274" t="str">
        <f>IF(ISBLANK(Setup!$C$5),"Example Limited",Setup!$C$5)</f>
        <v>Nasia Consult Co. Limited</v>
      </c>
      <c r="I1" s="318"/>
      <c r="J1" s="343"/>
      <c r="K1" s="307" t="s">
        <v>312</v>
      </c>
      <c r="L1" s="85"/>
    </row>
    <row r="2" spans="1:16" ht="15.95" customHeight="1" x14ac:dyDescent="0.25">
      <c r="A2" s="177" t="s">
        <v>72</v>
      </c>
      <c r="E2" s="178"/>
      <c r="I2" s="318"/>
      <c r="J2" s="343"/>
      <c r="K2" s="344">
        <v>45657</v>
      </c>
      <c r="L2" s="37">
        <f ca="1">IF(ISBLANK(K2),TODAY(),K2)</f>
        <v>45657</v>
      </c>
      <c r="M2" s="178"/>
      <c r="N2" s="178"/>
    </row>
    <row r="3" spans="1:16" s="6" customFormat="1" ht="15.95" customHeight="1" x14ac:dyDescent="0.25">
      <c r="A3" s="7" t="s">
        <v>244</v>
      </c>
      <c r="E3" s="89">
        <f>SUBTOTAL(109,Expense[[#Data],[Tax Inclusive Amount]])</f>
        <v>4915126.68</v>
      </c>
      <c r="F3" s="90"/>
      <c r="G3" s="90"/>
      <c r="H3" s="90"/>
      <c r="I3" s="16"/>
      <c r="J3" s="88"/>
      <c r="K3" s="89">
        <f ca="1">SUBTOTAL(109,Expense[[#Data],[Outstanding Balance]])</f>
        <v>0</v>
      </c>
      <c r="L3" s="89">
        <f ca="1">SUBTOTAL(109,Expense[[#Data],[Exclusive Amount]])</f>
        <v>4868009.0867796605</v>
      </c>
      <c r="M3" s="89">
        <f ca="1">SUBTOTAL(109,Expense[[#Data],[Sales Tax 1 Amount]])</f>
        <v>47117.593220338982</v>
      </c>
      <c r="N3" s="89">
        <f ca="1">SUBTOTAL(109,Expense[[#Data],[Sales Tax 2 Amount]])</f>
        <v>0</v>
      </c>
      <c r="O3" s="89">
        <f>SUBTOTAL(109,Expense[[#Data],[Inclusive Amount]])</f>
        <v>4915126.68</v>
      </c>
      <c r="P3" s="16"/>
    </row>
    <row r="4" spans="1:16" s="98" customFormat="1" ht="25.5" x14ac:dyDescent="0.2">
      <c r="A4" s="310" t="s">
        <v>38</v>
      </c>
      <c r="B4" s="92" t="s">
        <v>5</v>
      </c>
      <c r="C4" s="94" t="s">
        <v>6</v>
      </c>
      <c r="D4" s="94" t="s">
        <v>7</v>
      </c>
      <c r="E4" s="95" t="s">
        <v>36</v>
      </c>
      <c r="F4" s="95" t="s">
        <v>600</v>
      </c>
      <c r="G4" s="95" t="s">
        <v>601</v>
      </c>
      <c r="H4" s="95" t="s">
        <v>70</v>
      </c>
      <c r="I4" s="93" t="s">
        <v>332</v>
      </c>
      <c r="J4" s="309" t="s">
        <v>35</v>
      </c>
      <c r="K4" s="179" t="s">
        <v>311</v>
      </c>
      <c r="L4" s="180" t="s">
        <v>37</v>
      </c>
      <c r="M4" s="97" t="s">
        <v>598</v>
      </c>
      <c r="N4" s="97" t="s">
        <v>599</v>
      </c>
      <c r="O4" s="97" t="s">
        <v>54</v>
      </c>
      <c r="P4" s="97" t="s">
        <v>71</v>
      </c>
    </row>
    <row r="5" spans="1:16" ht="15.95" customHeight="1" x14ac:dyDescent="0.25">
      <c r="A5" s="345">
        <v>45295</v>
      </c>
      <c r="B5" s="318" t="s">
        <v>792</v>
      </c>
      <c r="E5" s="347">
        <v>2600000</v>
      </c>
      <c r="F5" s="308" t="s">
        <v>51</v>
      </c>
      <c r="G5" s="308" t="s">
        <v>51</v>
      </c>
      <c r="H5" s="308" t="s">
        <v>57</v>
      </c>
      <c r="I5" s="338" t="s">
        <v>205</v>
      </c>
      <c r="J5" s="346">
        <v>45295</v>
      </c>
      <c r="K5" s="308">
        <f t="shared" ref="K5:K75" ca="1" si="0">IF(AND($A5&lt;=$L$2,OR($J5&gt;$L$2,ISBLANK($J5))),$E5,0)</f>
        <v>0</v>
      </c>
      <c r="L5" s="342" cm="1">
        <f t="array" aca="1" ref="L5" ca="1">O5-IF(ExpTaxCount=2,SUM(M5:N5),SUM(M5:M5))</f>
        <v>2600000</v>
      </c>
      <c r="M5" s="342">
        <f ca="1">$O5/(1+IF(ISERROR($F5),0,IF(ISNA(MATCH($F5,TaxCode,0)),0,OFFSET(Setup!$D$23,MATCH($F5,TaxCode,0),0,1,1)))+IF(ISERROR($G5),0,IF(ISNA(MATCH($G5,TaxCode,0)),0,OFFSET(Setup!$D$23,MATCH($G5,TaxCode,0),0,1,1))))*IF(ISERROR($F5),0,IF(ISNA(MATCH($F5,TaxCode,0)),0,OFFSET(Setup!$D$23,MATCH($F5,TaxCode,0),0,1,1)))</f>
        <v>0</v>
      </c>
      <c r="N5" s="342">
        <f ca="1">$O5/(1+IF(ISERROR($F5),0,IF(ISNA(MATCH($F5,TaxCode,0)),0,OFFSET(Setup!$D$23,MATCH($F5,TaxCode,0),0,1,1)))+IF(ISERROR($G5),0,IF(ISNA(MATCH($G5,TaxCode,0)),0,OFFSET(Setup!$D$23,MATCH($G5,TaxCode,0),0,1,1))))*IF(ISERROR($G5),0,IF(ISNA(MATCH($G5,TaxCode,0)),0,OFFSET(Setup!$D$23,MATCH($G5,TaxCode,0),0,1,1)))</f>
        <v>0</v>
      </c>
      <c r="O5" s="342">
        <f t="shared" ref="O5:O75" si="1">E5</f>
        <v>2600000</v>
      </c>
      <c r="P5" s="308" t="str">
        <f t="shared" ref="P5:P75" ca="1" si="2">IF(AND(ISBLANK(J5)=FALSE,J5&lt;A5),"E1",IF(AND(ISBLANK(I5)=FALSE,ISNA(MATCH($I5,AccountNo,0))),"E2",IF(AND(ISBLANK(H5)=FALSE,ISNA(MATCH($H5,BankCode,0))),"E3","-")))</f>
        <v>-</v>
      </c>
    </row>
    <row r="6" spans="1:16" ht="15.95" customHeight="1" x14ac:dyDescent="0.25">
      <c r="A6" s="345">
        <v>45295</v>
      </c>
      <c r="B6" s="318" t="s">
        <v>709</v>
      </c>
      <c r="D6" s="318" t="s">
        <v>808</v>
      </c>
      <c r="E6" s="347">
        <v>200000</v>
      </c>
      <c r="F6" s="308" t="s">
        <v>51</v>
      </c>
      <c r="G6" s="308" t="s">
        <v>51</v>
      </c>
      <c r="H6" s="308" t="s">
        <v>57</v>
      </c>
      <c r="I6" s="338" t="s">
        <v>258</v>
      </c>
      <c r="J6" s="346">
        <v>45295</v>
      </c>
      <c r="K6" s="308">
        <f t="shared" ca="1" si="0"/>
        <v>0</v>
      </c>
      <c r="L6" s="342" cm="1">
        <f t="array" aca="1" ref="L6" ca="1">O6-IF(ExpTaxCount=2,SUM(M6:N6),SUM(M6:M6))</f>
        <v>200000</v>
      </c>
      <c r="M6" s="342">
        <f ca="1">$O6/(1+IF(ISERROR($F6),0,IF(ISNA(MATCH($F6,TaxCode,0)),0,OFFSET(Setup!$D$23,MATCH($F6,TaxCode,0),0,1,1)))+IF(ISERROR($G6),0,IF(ISNA(MATCH($G6,TaxCode,0)),0,OFFSET(Setup!$D$23,MATCH($G6,TaxCode,0),0,1,1))))*IF(ISERROR($F6),0,IF(ISNA(MATCH($F6,TaxCode,0)),0,OFFSET(Setup!$D$23,MATCH($F6,TaxCode,0),0,1,1)))</f>
        <v>0</v>
      </c>
      <c r="N6" s="342">
        <f ca="1">$O6/(1+IF(ISERROR($F6),0,IF(ISNA(MATCH($F6,TaxCode,0)),0,OFFSET(Setup!$D$23,MATCH($F6,TaxCode,0),0,1,1)))+IF(ISERROR($G6),0,IF(ISNA(MATCH($G6,TaxCode,0)),0,OFFSET(Setup!$D$23,MATCH($G6,TaxCode,0),0,1,1))))*IF(ISERROR($G6),0,IF(ISNA(MATCH($G6,TaxCode,0)),0,OFFSET(Setup!$D$23,MATCH($G6,TaxCode,0),0,1,1)))</f>
        <v>0</v>
      </c>
      <c r="O6" s="342">
        <f t="shared" si="1"/>
        <v>200000</v>
      </c>
      <c r="P6" s="308" t="str">
        <f t="shared" ca="1" si="2"/>
        <v>-</v>
      </c>
    </row>
    <row r="7" spans="1:16" ht="15.95" customHeight="1" x14ac:dyDescent="0.25">
      <c r="A7" s="345">
        <v>45295</v>
      </c>
      <c r="B7" s="318" t="s">
        <v>793</v>
      </c>
      <c r="D7" s="318" t="s">
        <v>809</v>
      </c>
      <c r="E7" s="347">
        <v>62764.55</v>
      </c>
      <c r="F7" s="308" t="s">
        <v>51</v>
      </c>
      <c r="G7" s="308" t="s">
        <v>51</v>
      </c>
      <c r="H7" s="308" t="s">
        <v>57</v>
      </c>
      <c r="I7" s="338" t="s">
        <v>258</v>
      </c>
      <c r="J7" s="346">
        <v>45295</v>
      </c>
      <c r="K7" s="308">
        <f t="shared" ca="1" si="0"/>
        <v>0</v>
      </c>
      <c r="L7" s="342" cm="1">
        <f t="array" aca="1" ref="L7" ca="1">O7-IF(ExpTaxCount=2,SUM(M7:N7),SUM(M7:M7))</f>
        <v>62764.55</v>
      </c>
      <c r="M7" s="342">
        <f ca="1">$O7/(1+IF(ISERROR($F7),0,IF(ISNA(MATCH($F7,TaxCode,0)),0,OFFSET(Setup!$D$23,MATCH($F7,TaxCode,0),0,1,1)))+IF(ISERROR($G7),0,IF(ISNA(MATCH($G7,TaxCode,0)),0,OFFSET(Setup!$D$23,MATCH($G7,TaxCode,0),0,1,1))))*IF(ISERROR($F7),0,IF(ISNA(MATCH($F7,TaxCode,0)),0,OFFSET(Setup!$D$23,MATCH($F7,TaxCode,0),0,1,1)))</f>
        <v>0</v>
      </c>
      <c r="N7" s="342">
        <f ca="1">$O7/(1+IF(ISERROR($F7),0,IF(ISNA(MATCH($F7,TaxCode,0)),0,OFFSET(Setup!$D$23,MATCH($F7,TaxCode,0),0,1,1)))+IF(ISERROR($G7),0,IF(ISNA(MATCH($G7,TaxCode,0)),0,OFFSET(Setup!$D$23,MATCH($G7,TaxCode,0),0,1,1))))*IF(ISERROR($G7),0,IF(ISNA(MATCH($G7,TaxCode,0)),0,OFFSET(Setup!$D$23,MATCH($G7,TaxCode,0),0,1,1)))</f>
        <v>0</v>
      </c>
      <c r="O7" s="342">
        <f t="shared" si="1"/>
        <v>62764.55</v>
      </c>
      <c r="P7" s="308" t="str">
        <f t="shared" ca="1" si="2"/>
        <v>-</v>
      </c>
    </row>
    <row r="8" spans="1:16" ht="15.95" customHeight="1" x14ac:dyDescent="0.25">
      <c r="A8" s="345">
        <v>45295</v>
      </c>
      <c r="B8" s="318" t="s">
        <v>795</v>
      </c>
      <c r="D8" s="318" t="s">
        <v>807</v>
      </c>
      <c r="E8" s="347">
        <v>300000</v>
      </c>
      <c r="F8" s="308" t="s">
        <v>51</v>
      </c>
      <c r="G8" s="308" t="s">
        <v>51</v>
      </c>
      <c r="H8" s="308" t="s">
        <v>57</v>
      </c>
      <c r="I8" s="338" t="s">
        <v>169</v>
      </c>
      <c r="J8" s="346">
        <v>45295</v>
      </c>
      <c r="K8" s="308">
        <f t="shared" ca="1" si="0"/>
        <v>0</v>
      </c>
      <c r="L8" s="342" cm="1">
        <f t="array" aca="1" ref="L8" ca="1">O8-IF(ExpTaxCount=2,SUM(M8:N8),SUM(M8:M8))</f>
        <v>300000</v>
      </c>
      <c r="M8" s="342">
        <f ca="1">$O8/(1+IF(ISERROR($F8),0,IF(ISNA(MATCH($F8,TaxCode,0)),0,OFFSET(Setup!$D$23,MATCH($F8,TaxCode,0),0,1,1)))+IF(ISERROR($G8),0,IF(ISNA(MATCH($G8,TaxCode,0)),0,OFFSET(Setup!$D$23,MATCH($G8,TaxCode,0),0,1,1))))*IF(ISERROR($F8),0,IF(ISNA(MATCH($F8,TaxCode,0)),0,OFFSET(Setup!$D$23,MATCH($F8,TaxCode,0),0,1,1)))</f>
        <v>0</v>
      </c>
      <c r="N8" s="342">
        <f ca="1">$O8/(1+IF(ISERROR($F8),0,IF(ISNA(MATCH($F8,TaxCode,0)),0,OFFSET(Setup!$D$23,MATCH($F8,TaxCode,0),0,1,1)))+IF(ISERROR($G8),0,IF(ISNA(MATCH($G8,TaxCode,0)),0,OFFSET(Setup!$D$23,MATCH($G8,TaxCode,0),0,1,1))))*IF(ISERROR($G8),0,IF(ISNA(MATCH($G8,TaxCode,0)),0,OFFSET(Setup!$D$23,MATCH($G8,TaxCode,0),0,1,1)))</f>
        <v>0</v>
      </c>
      <c r="O8" s="342">
        <f t="shared" si="1"/>
        <v>300000</v>
      </c>
      <c r="P8" s="308" t="str">
        <f t="shared" ca="1" si="2"/>
        <v>-</v>
      </c>
    </row>
    <row r="9" spans="1:16" ht="15.95" customHeight="1" x14ac:dyDescent="0.25">
      <c r="A9" s="345">
        <v>45295</v>
      </c>
      <c r="B9" s="318" t="s">
        <v>795</v>
      </c>
      <c r="D9" s="318" t="s">
        <v>807</v>
      </c>
      <c r="E9" s="347">
        <v>-300000</v>
      </c>
      <c r="F9" s="308" t="s">
        <v>51</v>
      </c>
      <c r="G9" s="308" t="s">
        <v>51</v>
      </c>
      <c r="H9" s="308" t="s">
        <v>60</v>
      </c>
      <c r="I9" s="338" t="s">
        <v>169</v>
      </c>
      <c r="J9" s="346">
        <v>45295</v>
      </c>
      <c r="K9" s="308">
        <f t="shared" ca="1" si="0"/>
        <v>0</v>
      </c>
      <c r="L9" s="342" cm="1">
        <f t="array" aca="1" ref="L9" ca="1">O9-IF(ExpTaxCount=2,SUM(M9:N9),SUM(M9:M9))</f>
        <v>-300000</v>
      </c>
      <c r="M9" s="342">
        <f ca="1">$O9/(1+IF(ISERROR($F9),0,IF(ISNA(MATCH($F9,TaxCode,0)),0,OFFSET(Setup!$D$23,MATCH($F9,TaxCode,0),0,1,1)))+IF(ISERROR($G9),0,IF(ISNA(MATCH($G9,TaxCode,0)),0,OFFSET(Setup!$D$23,MATCH($G9,TaxCode,0),0,1,1))))*IF(ISERROR($F9),0,IF(ISNA(MATCH($F9,TaxCode,0)),0,OFFSET(Setup!$D$23,MATCH($F9,TaxCode,0),0,1,1)))</f>
        <v>0</v>
      </c>
      <c r="N9" s="342">
        <f ca="1">$O9/(1+IF(ISERROR($F9),0,IF(ISNA(MATCH($F9,TaxCode,0)),0,OFFSET(Setup!$D$23,MATCH($F9,TaxCode,0),0,1,1)))+IF(ISERROR($G9),0,IF(ISNA(MATCH($G9,TaxCode,0)),0,OFFSET(Setup!$D$23,MATCH($G9,TaxCode,0),0,1,1))))*IF(ISERROR($G9),0,IF(ISNA(MATCH($G9,TaxCode,0)),0,OFFSET(Setup!$D$23,MATCH($G9,TaxCode,0),0,1,1)))</f>
        <v>0</v>
      </c>
      <c r="O9" s="342">
        <f t="shared" ref="O9" si="3">E9</f>
        <v>-300000</v>
      </c>
      <c r="P9" s="308" t="str">
        <f t="shared" ref="P9" ca="1" si="4">IF(AND(ISBLANK(J9)=FALSE,J9&lt;A9),"E1",IF(AND(ISBLANK(I9)=FALSE,ISNA(MATCH($I9,AccountNo,0))),"E2",IF(AND(ISBLANK(H9)=FALSE,ISNA(MATCH($H9,BankCode,0))),"E3","-")))</f>
        <v>-</v>
      </c>
    </row>
    <row r="10" spans="1:16" ht="15.95" customHeight="1" x14ac:dyDescent="0.25">
      <c r="A10" s="345">
        <v>45295</v>
      </c>
      <c r="B10" s="318" t="s">
        <v>794</v>
      </c>
      <c r="E10" s="347">
        <v>800000</v>
      </c>
      <c r="F10" s="308" t="s">
        <v>51</v>
      </c>
      <c r="G10" s="308" t="s">
        <v>51</v>
      </c>
      <c r="H10" s="308" t="s">
        <v>57</v>
      </c>
      <c r="I10" s="338" t="s">
        <v>205</v>
      </c>
      <c r="J10" s="346">
        <v>45295</v>
      </c>
      <c r="K10" s="308">
        <f t="shared" ca="1" si="0"/>
        <v>0</v>
      </c>
      <c r="L10" s="342" cm="1">
        <f t="array" aca="1" ref="L10" ca="1">O10-IF(ExpTaxCount=2,SUM(M10:N10),SUM(M10:M10))</f>
        <v>800000</v>
      </c>
      <c r="M10" s="342">
        <f ca="1">$O10/(1+IF(ISERROR($F10),0,IF(ISNA(MATCH($F10,TaxCode,0)),0,OFFSET(Setup!$D$23,MATCH($F10,TaxCode,0),0,1,1)))+IF(ISERROR($G10),0,IF(ISNA(MATCH($G10,TaxCode,0)),0,OFFSET(Setup!$D$23,MATCH($G10,TaxCode,0),0,1,1))))*IF(ISERROR($F10),0,IF(ISNA(MATCH($F10,TaxCode,0)),0,OFFSET(Setup!$D$23,MATCH($F10,TaxCode,0),0,1,1)))</f>
        <v>0</v>
      </c>
      <c r="N10" s="342">
        <f ca="1">$O10/(1+IF(ISERROR($F10),0,IF(ISNA(MATCH($F10,TaxCode,0)),0,OFFSET(Setup!$D$23,MATCH($F10,TaxCode,0),0,1,1)))+IF(ISERROR($G10),0,IF(ISNA(MATCH($G10,TaxCode,0)),0,OFFSET(Setup!$D$23,MATCH($G10,TaxCode,0),0,1,1))))*IF(ISERROR($G10),0,IF(ISNA(MATCH($G10,TaxCode,0)),0,OFFSET(Setup!$D$23,MATCH($G10,TaxCode,0),0,1,1)))</f>
        <v>0</v>
      </c>
      <c r="O10" s="342">
        <f t="shared" si="1"/>
        <v>800000</v>
      </c>
      <c r="P10" s="308" t="str">
        <f t="shared" ca="1" si="2"/>
        <v>-</v>
      </c>
    </row>
    <row r="11" spans="1:16" ht="15.95" customHeight="1" x14ac:dyDescent="0.25">
      <c r="A11" s="345">
        <v>45300</v>
      </c>
      <c r="B11" s="318" t="s">
        <v>795</v>
      </c>
      <c r="D11" s="318" t="s">
        <v>806</v>
      </c>
      <c r="E11" s="347">
        <v>250000</v>
      </c>
      <c r="F11" s="308" t="s">
        <v>654</v>
      </c>
      <c r="G11" s="308" t="s">
        <v>51</v>
      </c>
      <c r="H11" s="308" t="s">
        <v>57</v>
      </c>
      <c r="I11" s="338" t="s">
        <v>197</v>
      </c>
      <c r="J11" s="346">
        <v>45300</v>
      </c>
      <c r="K11" s="308">
        <f t="shared" ca="1" si="0"/>
        <v>0</v>
      </c>
      <c r="L11" s="342" cm="1">
        <f t="array" aca="1" ref="L11" ca="1">O11-IF(ExpTaxCount=2,SUM(M11:N11),SUM(M11:M11))</f>
        <v>211864.40677966102</v>
      </c>
      <c r="M11" s="342">
        <f ca="1">$O11/(1+IF(ISERROR($F11),0,IF(ISNA(MATCH($F11,TaxCode,0)),0,OFFSET(Setup!$D$23,MATCH($F11,TaxCode,0),0,1,1)))+IF(ISERROR($G11),0,IF(ISNA(MATCH($G11,TaxCode,0)),0,OFFSET(Setup!$D$23,MATCH($G11,TaxCode,0),0,1,1))))*IF(ISERROR($F11),0,IF(ISNA(MATCH($F11,TaxCode,0)),0,OFFSET(Setup!$D$23,MATCH($F11,TaxCode,0),0,1,1)))</f>
        <v>38135.593220338982</v>
      </c>
      <c r="N11" s="342">
        <f ca="1">$O11/(1+IF(ISERROR($F11),0,IF(ISNA(MATCH($F11,TaxCode,0)),0,OFFSET(Setup!$D$23,MATCH($F11,TaxCode,0),0,1,1)))+IF(ISERROR($G11),0,IF(ISNA(MATCH($G11,TaxCode,0)),0,OFFSET(Setup!$D$23,MATCH($G11,TaxCode,0),0,1,1))))*IF(ISERROR($G11),0,IF(ISNA(MATCH($G11,TaxCode,0)),0,OFFSET(Setup!$D$23,MATCH($G11,TaxCode,0),0,1,1)))</f>
        <v>0</v>
      </c>
      <c r="O11" s="342">
        <f t="shared" si="1"/>
        <v>250000</v>
      </c>
      <c r="P11" s="308" t="str">
        <f t="shared" ca="1" si="2"/>
        <v>-</v>
      </c>
    </row>
    <row r="12" spans="1:16" ht="15.95" customHeight="1" x14ac:dyDescent="0.25">
      <c r="A12" s="345">
        <v>45304</v>
      </c>
      <c r="B12" s="318" t="s">
        <v>803</v>
      </c>
      <c r="D12" s="318" t="s">
        <v>801</v>
      </c>
      <c r="E12" s="347">
        <v>2340</v>
      </c>
      <c r="F12" s="308" t="s">
        <v>51</v>
      </c>
      <c r="G12" s="308" t="s">
        <v>51</v>
      </c>
      <c r="H12" s="308" t="s">
        <v>57</v>
      </c>
      <c r="I12" s="338" t="s">
        <v>185</v>
      </c>
      <c r="J12" s="346">
        <v>45304</v>
      </c>
      <c r="K12" s="308">
        <f ca="1">IF(AND($A12&lt;=$L$2,OR($J12&gt;$L$2,ISBLANK($J12))),$E12,0)</f>
        <v>0</v>
      </c>
      <c r="L12" s="342">
        <f t="array" aca="1" ref="L12" ca="1">O12-IF(ExpTaxCount=2,SUM(M12:N12),SUM(M12:M12))</f>
        <v>2340</v>
      </c>
      <c r="M12" s="342">
        <f ca="1">$O12/(1+IF(ISERROR($F12),0,IF(ISNA(MATCH($F12,TaxCode,0)),0,OFFSET(Setup!$D$23,MATCH($F12,TaxCode,0),0,1,1)))+IF(ISERROR($G12),0,IF(ISNA(MATCH($G12,TaxCode,0)),0,OFFSET(Setup!$D$23,MATCH($G12,TaxCode,0),0,1,1))))*IF(ISERROR($F12),0,IF(ISNA(MATCH($F12,TaxCode,0)),0,OFFSET(Setup!$D$23,MATCH($F12,TaxCode,0),0,1,1)))</f>
        <v>0</v>
      </c>
      <c r="N12" s="342">
        <f ca="1">$O12/(1+IF(ISERROR($F12),0,IF(ISNA(MATCH($F12,TaxCode,0)),0,OFFSET(Setup!$D$23,MATCH($F12,TaxCode,0),0,1,1)))+IF(ISERROR($G12),0,IF(ISNA(MATCH($G12,TaxCode,0)),0,OFFSET(Setup!$D$23,MATCH($G12,TaxCode,0),0,1,1))))*IF(ISERROR($G12),0,IF(ISNA(MATCH($G12,TaxCode,0)),0,OFFSET(Setup!$D$23,MATCH($G12,TaxCode,0),0,1,1)))</f>
        <v>0</v>
      </c>
      <c r="O12" s="342">
        <f>E12</f>
        <v>2340</v>
      </c>
      <c r="P12" s="308" t="str">
        <f ca="1">IF(AND(ISBLANK(J12)=FALSE,J12&lt;A12),"E1",IF(AND(ISBLANK(I12)=FALSE,ISNA(MATCH($I12,AccountNo,0))),"E2",IF(AND(ISBLANK(H12)=FALSE,ISNA(MATCH($H12,BankCode,0))),"E3","-")))</f>
        <v>-</v>
      </c>
    </row>
    <row r="13" spans="1:16" ht="15.95" customHeight="1" x14ac:dyDescent="0.25">
      <c r="A13" s="345">
        <v>45304</v>
      </c>
      <c r="B13" s="318" t="s">
        <v>803</v>
      </c>
      <c r="D13" s="318" t="s">
        <v>804</v>
      </c>
      <c r="E13" s="347">
        <v>13000</v>
      </c>
      <c r="F13" s="308" t="s">
        <v>51</v>
      </c>
      <c r="G13" s="308" t="s">
        <v>51</v>
      </c>
      <c r="H13" s="308" t="s">
        <v>57</v>
      </c>
      <c r="I13" s="338" t="s">
        <v>185</v>
      </c>
      <c r="J13" s="346">
        <v>45304</v>
      </c>
      <c r="K13" s="308">
        <f ca="1">IF(AND($A13&lt;=$L$2,OR($J13&gt;$L$2,ISBLANK($J13))),$E13,0)</f>
        <v>0</v>
      </c>
      <c r="L13" s="342">
        <f t="array" aca="1" ref="L13" ca="1">O13-IF(ExpTaxCount=2,SUM(M13:N13),SUM(M13:M13))</f>
        <v>13000</v>
      </c>
      <c r="M13" s="342">
        <f ca="1">$O13/(1+IF(ISERROR($F13),0,IF(ISNA(MATCH($F13,TaxCode,0)),0,OFFSET(Setup!$D$23,MATCH($F13,TaxCode,0),0,1,1)))+IF(ISERROR($G13),0,IF(ISNA(MATCH($G13,TaxCode,0)),0,OFFSET(Setup!$D$23,MATCH($G13,TaxCode,0),0,1,1))))*IF(ISERROR($F13),0,IF(ISNA(MATCH($F13,TaxCode,0)),0,OFFSET(Setup!$D$23,MATCH($F13,TaxCode,0),0,1,1)))</f>
        <v>0</v>
      </c>
      <c r="N13" s="342">
        <f ca="1">$O13/(1+IF(ISERROR($F13),0,IF(ISNA(MATCH($F13,TaxCode,0)),0,OFFSET(Setup!$D$23,MATCH($F13,TaxCode,0),0,1,1)))+IF(ISERROR($G13),0,IF(ISNA(MATCH($G13,TaxCode,0)),0,OFFSET(Setup!$D$23,MATCH($G13,TaxCode,0),0,1,1))))*IF(ISERROR($G13),0,IF(ISNA(MATCH($G13,TaxCode,0)),0,OFFSET(Setup!$D$23,MATCH($G13,TaxCode,0),0,1,1)))</f>
        <v>0</v>
      </c>
      <c r="O13" s="342">
        <f>E13</f>
        <v>13000</v>
      </c>
      <c r="P13" s="308" t="str">
        <f ca="1">IF(AND(ISBLANK(J13)=FALSE,J13&lt;A13),"E1",IF(AND(ISBLANK(I13)=FALSE,ISNA(MATCH($I13,AccountNo,0))),"E2",IF(AND(ISBLANK(H13)=FALSE,ISNA(MATCH($H13,BankCode,0))),"E3","-")))</f>
        <v>-</v>
      </c>
    </row>
    <row r="14" spans="1:16" ht="15.95" customHeight="1" x14ac:dyDescent="0.25">
      <c r="A14" s="345">
        <v>45315</v>
      </c>
      <c r="B14" s="318" t="s">
        <v>796</v>
      </c>
      <c r="D14" s="318" t="s">
        <v>810</v>
      </c>
      <c r="E14" s="347">
        <v>203034</v>
      </c>
      <c r="F14" s="308" t="s">
        <v>51</v>
      </c>
      <c r="G14" s="308" t="s">
        <v>51</v>
      </c>
      <c r="H14" s="308" t="s">
        <v>57</v>
      </c>
      <c r="I14" s="338" t="s">
        <v>197</v>
      </c>
      <c r="J14" s="346">
        <v>45315</v>
      </c>
      <c r="K14" s="308">
        <f t="shared" ca="1" si="0"/>
        <v>0</v>
      </c>
      <c r="L14" s="342" cm="1">
        <f t="array" aca="1" ref="L14" ca="1">O14-IF(ExpTaxCount=2,SUM(M14:N14),SUM(M14:M14))</f>
        <v>203034</v>
      </c>
      <c r="M14" s="342">
        <f ca="1">$O14/(1+IF(ISERROR($F14),0,IF(ISNA(MATCH($F14,TaxCode,0)),0,OFFSET(Setup!$D$23,MATCH($F14,TaxCode,0),0,1,1)))+IF(ISERROR($G14),0,IF(ISNA(MATCH($G14,TaxCode,0)),0,OFFSET(Setup!$D$23,MATCH($G14,TaxCode,0),0,1,1))))*IF(ISERROR($F14),0,IF(ISNA(MATCH($F14,TaxCode,0)),0,OFFSET(Setup!$D$23,MATCH($F14,TaxCode,0),0,1,1)))</f>
        <v>0</v>
      </c>
      <c r="N14" s="342">
        <f ca="1">$O14/(1+IF(ISERROR($F14),0,IF(ISNA(MATCH($F14,TaxCode,0)),0,OFFSET(Setup!$D$23,MATCH($F14,TaxCode,0),0,1,1)))+IF(ISERROR($G14),0,IF(ISNA(MATCH($G14,TaxCode,0)),0,OFFSET(Setup!$D$23,MATCH($G14,TaxCode,0),0,1,1))))*IF(ISERROR($G14),0,IF(ISNA(MATCH($G14,TaxCode,0)),0,OFFSET(Setup!$D$23,MATCH($G14,TaxCode,0),0,1,1)))</f>
        <v>0</v>
      </c>
      <c r="O14" s="342">
        <f t="shared" si="1"/>
        <v>203034</v>
      </c>
      <c r="P14" s="308" t="str">
        <f t="shared" ca="1" si="2"/>
        <v>-</v>
      </c>
    </row>
    <row r="15" spans="1:16" ht="15.95" customHeight="1" x14ac:dyDescent="0.25">
      <c r="A15" s="345">
        <v>45315</v>
      </c>
      <c r="B15" s="318" t="s">
        <v>803</v>
      </c>
      <c r="D15" s="318" t="s">
        <v>800</v>
      </c>
      <c r="E15" s="347">
        <v>2360</v>
      </c>
      <c r="F15" s="308" t="s">
        <v>654</v>
      </c>
      <c r="G15" s="308" t="s">
        <v>51</v>
      </c>
      <c r="H15" s="308" t="s">
        <v>57</v>
      </c>
      <c r="I15" s="338" t="s">
        <v>185</v>
      </c>
      <c r="J15" s="346">
        <v>45315</v>
      </c>
      <c r="K15" s="308">
        <f ca="1">IF(AND($A15&lt;=$L$2,OR($J15&gt;$L$2,ISBLANK($J15))),$E15,0)</f>
        <v>0</v>
      </c>
      <c r="L15" s="342">
        <f t="array" aca="1" ref="L15" ca="1">O15-IF(ExpTaxCount=2,SUM(M15:N15),SUM(M15:M15))</f>
        <v>2000</v>
      </c>
      <c r="M15" s="342">
        <f ca="1">$O15/(1+IF(ISERROR($F15),0,IF(ISNA(MATCH($F15,TaxCode,0)),0,OFFSET(Setup!$D$23,MATCH($F15,TaxCode,0),0,1,1)))+IF(ISERROR($G15),0,IF(ISNA(MATCH($G15,TaxCode,0)),0,OFFSET(Setup!$D$23,MATCH($G15,TaxCode,0),0,1,1))))*IF(ISERROR($F15),0,IF(ISNA(MATCH($F15,TaxCode,0)),0,OFFSET(Setup!$D$23,MATCH($F15,TaxCode,0),0,1,1)))</f>
        <v>360</v>
      </c>
      <c r="N15" s="342">
        <f ca="1">$O15/(1+IF(ISERROR($F15),0,IF(ISNA(MATCH($F15,TaxCode,0)),0,OFFSET(Setup!$D$23,MATCH($F15,TaxCode,0),0,1,1)))+IF(ISERROR($G15),0,IF(ISNA(MATCH($G15,TaxCode,0)),0,OFFSET(Setup!$D$23,MATCH($G15,TaxCode,0),0,1,1))))*IF(ISERROR($G15),0,IF(ISNA(MATCH($G15,TaxCode,0)),0,OFFSET(Setup!$D$23,MATCH($G15,TaxCode,0),0,1,1)))</f>
        <v>0</v>
      </c>
      <c r="O15" s="342">
        <f>E15</f>
        <v>2360</v>
      </c>
      <c r="P15" s="308" t="str">
        <f ca="1">IF(AND(ISBLANK(J15)=FALSE,J15&lt;A15),"E1",IF(AND(ISBLANK(I15)=FALSE,ISNA(MATCH($I15,AccountNo,0))),"E2",IF(AND(ISBLANK(H15)=FALSE,ISNA(MATCH($H15,BankCode,0))),"E3","-")))</f>
        <v>-</v>
      </c>
    </row>
    <row r="16" spans="1:16" ht="15.95" customHeight="1" x14ac:dyDescent="0.25">
      <c r="A16" s="345">
        <v>45315</v>
      </c>
      <c r="B16" s="318" t="s">
        <v>803</v>
      </c>
      <c r="D16" s="318" t="s">
        <v>805</v>
      </c>
      <c r="E16" s="347">
        <v>0</v>
      </c>
      <c r="F16" s="308" t="s">
        <v>51</v>
      </c>
      <c r="G16" s="308" t="s">
        <v>51</v>
      </c>
      <c r="H16" s="308" t="s">
        <v>57</v>
      </c>
      <c r="I16" s="338" t="s">
        <v>185</v>
      </c>
      <c r="J16" s="346">
        <v>45315</v>
      </c>
      <c r="K16" s="308">
        <f ca="1">IF(AND($A16&lt;=$L$2,OR($J16&gt;$L$2,ISBLANK($J16))),$E16,0)</f>
        <v>0</v>
      </c>
      <c r="L16" s="342">
        <f t="array" aca="1" ref="L16" ca="1">O16-IF(ExpTaxCount=2,SUM(M16:N16),SUM(M16:M16))</f>
        <v>0</v>
      </c>
      <c r="M16" s="342">
        <f ca="1">$O16/(1+IF(ISERROR($F16),0,IF(ISNA(MATCH($F16,TaxCode,0)),0,OFFSET(Setup!$D$23,MATCH($F16,TaxCode,0),0,1,1)))+IF(ISERROR($G16),0,IF(ISNA(MATCH($G16,TaxCode,0)),0,OFFSET(Setup!$D$23,MATCH($G16,TaxCode,0),0,1,1))))*IF(ISERROR($F16),0,IF(ISNA(MATCH($F16,TaxCode,0)),0,OFFSET(Setup!$D$23,MATCH($F16,TaxCode,0),0,1,1)))</f>
        <v>0</v>
      </c>
      <c r="N16" s="342">
        <f ca="1">$O16/(1+IF(ISERROR($F16),0,IF(ISNA(MATCH($F16,TaxCode,0)),0,OFFSET(Setup!$D$23,MATCH($F16,TaxCode,0),0,1,1)))+IF(ISERROR($G16),0,IF(ISNA(MATCH($G16,TaxCode,0)),0,OFFSET(Setup!$D$23,MATCH($G16,TaxCode,0),0,1,1))))*IF(ISERROR($G16),0,IF(ISNA(MATCH($G16,TaxCode,0)),0,OFFSET(Setup!$D$23,MATCH($G16,TaxCode,0),0,1,1)))</f>
        <v>0</v>
      </c>
      <c r="O16" s="342">
        <f>E16</f>
        <v>0</v>
      </c>
      <c r="P16" s="308" t="str">
        <f ca="1">IF(AND(ISBLANK(J16)=FALSE,J16&lt;A16),"E1",IF(AND(ISBLANK(I16)=FALSE,ISNA(MATCH($I16,AccountNo,0))),"E2",IF(AND(ISBLANK(H16)=FALSE,ISNA(MATCH($H16,BankCode,0))),"E3","-")))</f>
        <v>-</v>
      </c>
    </row>
    <row r="17" spans="1:16" ht="15.95" customHeight="1" x14ac:dyDescent="0.25">
      <c r="A17" s="345">
        <v>45315</v>
      </c>
      <c r="B17" s="318" t="s">
        <v>797</v>
      </c>
      <c r="D17" s="318" t="s">
        <v>799</v>
      </c>
      <c r="E17" s="347">
        <v>54162</v>
      </c>
      <c r="F17" s="308" t="s">
        <v>654</v>
      </c>
      <c r="G17" s="308" t="s">
        <v>51</v>
      </c>
      <c r="H17" s="308" t="s">
        <v>57</v>
      </c>
      <c r="I17" s="338" t="s">
        <v>197</v>
      </c>
      <c r="J17" s="346">
        <v>45315</v>
      </c>
      <c r="K17" s="308">
        <f t="shared" ca="1" si="0"/>
        <v>0</v>
      </c>
      <c r="L17" s="342" cm="1">
        <f t="array" aca="1" ref="L17" ca="1">O17-IF(ExpTaxCount=2,SUM(M17:N17),SUM(M17:M17))</f>
        <v>45900</v>
      </c>
      <c r="M17" s="342">
        <f ca="1">$O17/(1+IF(ISERROR($F17),0,IF(ISNA(MATCH($F17,TaxCode,0)),0,OFFSET(Setup!$D$23,MATCH($F17,TaxCode,0),0,1,1)))+IF(ISERROR($G17),0,IF(ISNA(MATCH($G17,TaxCode,0)),0,OFFSET(Setup!$D$23,MATCH($G17,TaxCode,0),0,1,1))))*IF(ISERROR($F17),0,IF(ISNA(MATCH($F17,TaxCode,0)),0,OFFSET(Setup!$D$23,MATCH($F17,TaxCode,0),0,1,1)))</f>
        <v>8262</v>
      </c>
      <c r="N17" s="342">
        <f ca="1">$O17/(1+IF(ISERROR($F17),0,IF(ISNA(MATCH($F17,TaxCode,0)),0,OFFSET(Setup!$D$23,MATCH($F17,TaxCode,0),0,1,1)))+IF(ISERROR($G17),0,IF(ISNA(MATCH($G17,TaxCode,0)),0,OFFSET(Setup!$D$23,MATCH($G17,TaxCode,0),0,1,1))))*IF(ISERROR($G17),0,IF(ISNA(MATCH($G17,TaxCode,0)),0,OFFSET(Setup!$D$23,MATCH($G17,TaxCode,0),0,1,1)))</f>
        <v>0</v>
      </c>
      <c r="O17" s="342">
        <f t="shared" si="1"/>
        <v>54162</v>
      </c>
      <c r="P17" s="308" t="str">
        <f t="shared" ca="1" si="2"/>
        <v>-</v>
      </c>
    </row>
    <row r="18" spans="1:16" ht="15.95" customHeight="1" x14ac:dyDescent="0.25">
      <c r="A18" s="345">
        <v>45315</v>
      </c>
      <c r="B18" s="318" t="s">
        <v>803</v>
      </c>
      <c r="D18" s="318" t="s">
        <v>800</v>
      </c>
      <c r="E18" s="347">
        <v>2360</v>
      </c>
      <c r="F18" s="308" t="s">
        <v>654</v>
      </c>
      <c r="G18" s="308" t="s">
        <v>51</v>
      </c>
      <c r="H18" s="308" t="s">
        <v>57</v>
      </c>
      <c r="I18" s="338" t="s">
        <v>185</v>
      </c>
      <c r="J18" s="346">
        <v>45315</v>
      </c>
      <c r="K18" s="308">
        <f ca="1">IF(AND($A18&lt;=$L$2,OR($J18&gt;$L$2,ISBLANK($J18))),$E18,0)</f>
        <v>0</v>
      </c>
      <c r="L18" s="342">
        <f t="array" aca="1" ref="L18" ca="1">O18-IF(ExpTaxCount=2,SUM(M18:N18),SUM(M18:M18))</f>
        <v>2000</v>
      </c>
      <c r="M18" s="342">
        <f ca="1">$O18/(1+IF(ISERROR($F18),0,IF(ISNA(MATCH($F18,TaxCode,0)),0,OFFSET(Setup!$D$23,MATCH($F18,TaxCode,0),0,1,1)))+IF(ISERROR($G18),0,IF(ISNA(MATCH($G18,TaxCode,0)),0,OFFSET(Setup!$D$23,MATCH($G18,TaxCode,0),0,1,1))))*IF(ISERROR($F18),0,IF(ISNA(MATCH($F18,TaxCode,0)),0,OFFSET(Setup!$D$23,MATCH($F18,TaxCode,0),0,1,1)))</f>
        <v>360</v>
      </c>
      <c r="N18" s="342">
        <f ca="1">$O18/(1+IF(ISERROR($F18),0,IF(ISNA(MATCH($F18,TaxCode,0)),0,OFFSET(Setup!$D$23,MATCH($F18,TaxCode,0),0,1,1)))+IF(ISERROR($G18),0,IF(ISNA(MATCH($G18,TaxCode,0)),0,OFFSET(Setup!$D$23,MATCH($G18,TaxCode,0),0,1,1))))*IF(ISERROR($G18),0,IF(ISNA(MATCH($G18,TaxCode,0)),0,OFFSET(Setup!$D$23,MATCH($G18,TaxCode,0),0,1,1)))</f>
        <v>0</v>
      </c>
      <c r="O18" s="342">
        <f>E18</f>
        <v>2360</v>
      </c>
      <c r="P18" s="308" t="str">
        <f ca="1">IF(AND(ISBLANK(J18)=FALSE,J18&lt;A18),"E1",IF(AND(ISBLANK(I18)=FALSE,ISNA(MATCH($I18,AccountNo,0))),"E2",IF(AND(ISBLANK(H18)=FALSE,ISNA(MATCH($H18,BankCode,0))),"E3","-")))</f>
        <v>-</v>
      </c>
    </row>
    <row r="19" spans="1:16" ht="15.95" customHeight="1" x14ac:dyDescent="0.25">
      <c r="A19" s="345">
        <v>45315</v>
      </c>
      <c r="B19" s="318" t="s">
        <v>803</v>
      </c>
      <c r="D19" s="318" t="s">
        <v>805</v>
      </c>
      <c r="E19" s="347">
        <v>0</v>
      </c>
      <c r="F19" s="308" t="s">
        <v>51</v>
      </c>
      <c r="G19" s="308" t="s">
        <v>51</v>
      </c>
      <c r="H19" s="308" t="s">
        <v>57</v>
      </c>
      <c r="I19" s="338" t="s">
        <v>185</v>
      </c>
      <c r="J19" s="346">
        <v>45315</v>
      </c>
      <c r="K19" s="308">
        <f ca="1">IF(AND($A19&lt;=$L$2,OR($J19&gt;$L$2,ISBLANK($J19))),$E19,0)</f>
        <v>0</v>
      </c>
      <c r="L19" s="342">
        <f t="array" aca="1" ref="L19" ca="1">O19-IF(ExpTaxCount=2,SUM(M19:N19),SUM(M19:M19))</f>
        <v>0</v>
      </c>
      <c r="M19" s="342">
        <f ca="1">$O19/(1+IF(ISERROR($F19),0,IF(ISNA(MATCH($F19,TaxCode,0)),0,OFFSET(Setup!$D$23,MATCH($F19,TaxCode,0),0,1,1)))+IF(ISERROR($G19),0,IF(ISNA(MATCH($G19,TaxCode,0)),0,OFFSET(Setup!$D$23,MATCH($G19,TaxCode,0),0,1,1))))*IF(ISERROR($F19),0,IF(ISNA(MATCH($F19,TaxCode,0)),0,OFFSET(Setup!$D$23,MATCH($F19,TaxCode,0),0,1,1)))</f>
        <v>0</v>
      </c>
      <c r="N19" s="342">
        <f ca="1">$O19/(1+IF(ISERROR($F19),0,IF(ISNA(MATCH($F19,TaxCode,0)),0,OFFSET(Setup!$D$23,MATCH($F19,TaxCode,0),0,1,1)))+IF(ISERROR($G19),0,IF(ISNA(MATCH($G19,TaxCode,0)),0,OFFSET(Setup!$D$23,MATCH($G19,TaxCode,0),0,1,1))))*IF(ISERROR($G19),0,IF(ISNA(MATCH($G19,TaxCode,0)),0,OFFSET(Setup!$D$23,MATCH($G19,TaxCode,0),0,1,1)))</f>
        <v>0</v>
      </c>
      <c r="O19" s="342">
        <f>E19</f>
        <v>0</v>
      </c>
      <c r="P19" s="308" t="str">
        <f ca="1">IF(AND(ISBLANK(J19)=FALSE,J19&lt;A19),"E1",IF(AND(ISBLANK(I19)=FALSE,ISNA(MATCH($I19,AccountNo,0))),"E2",IF(AND(ISBLANK(H19)=FALSE,ISNA(MATCH($H19,BankCode,0))),"E3","-")))</f>
        <v>-</v>
      </c>
    </row>
    <row r="20" spans="1:16" ht="15.95" customHeight="1" x14ac:dyDescent="0.25">
      <c r="A20" s="345">
        <v>45321</v>
      </c>
      <c r="B20" s="318" t="s">
        <v>798</v>
      </c>
      <c r="D20" s="318" t="s">
        <v>806</v>
      </c>
      <c r="E20" s="347">
        <v>250000</v>
      </c>
      <c r="F20" s="308" t="s">
        <v>51</v>
      </c>
      <c r="G20" s="308" t="s">
        <v>51</v>
      </c>
      <c r="H20" s="308" t="s">
        <v>57</v>
      </c>
      <c r="I20" s="338" t="s">
        <v>197</v>
      </c>
      <c r="J20" s="346">
        <v>45321</v>
      </c>
      <c r="K20" s="308">
        <f t="shared" ca="1" si="0"/>
        <v>0</v>
      </c>
      <c r="L20" s="342" cm="1">
        <f t="array" aca="1" ref="L20" ca="1">O20-IF(ExpTaxCount=2,SUM(M20:N20),SUM(M20:M20))</f>
        <v>250000</v>
      </c>
      <c r="M20" s="342">
        <f ca="1">$O20/(1+IF(ISERROR($F20),0,IF(ISNA(MATCH($F20,TaxCode,0)),0,OFFSET(Setup!$D$23,MATCH($F20,TaxCode,0),0,1,1)))+IF(ISERROR($G20),0,IF(ISNA(MATCH($G20,TaxCode,0)),0,OFFSET(Setup!$D$23,MATCH($G20,TaxCode,0),0,1,1))))*IF(ISERROR($F20),0,IF(ISNA(MATCH($F20,TaxCode,0)),0,OFFSET(Setup!$D$23,MATCH($F20,TaxCode,0),0,1,1)))</f>
        <v>0</v>
      </c>
      <c r="N20" s="342">
        <f ca="1">$O20/(1+IF(ISERROR($F20),0,IF(ISNA(MATCH($F20,TaxCode,0)),0,OFFSET(Setup!$D$23,MATCH($F20,TaxCode,0),0,1,1)))+IF(ISERROR($G20),0,IF(ISNA(MATCH($G20,TaxCode,0)),0,OFFSET(Setup!$D$23,MATCH($G20,TaxCode,0),0,1,1))))*IF(ISERROR($G20),0,IF(ISNA(MATCH($G20,TaxCode,0)),0,OFFSET(Setup!$D$23,MATCH($G20,TaxCode,0),0,1,1)))</f>
        <v>0</v>
      </c>
      <c r="O20" s="342">
        <f t="shared" si="1"/>
        <v>250000</v>
      </c>
      <c r="P20" s="308" t="str">
        <f t="shared" ca="1" si="2"/>
        <v>-</v>
      </c>
    </row>
    <row r="21" spans="1:16" ht="15.95" customHeight="1" x14ac:dyDescent="0.25">
      <c r="D21" s="318" t="s">
        <v>814</v>
      </c>
      <c r="E21" s="347">
        <v>49454.67</v>
      </c>
      <c r="F21" s="308" t="s">
        <v>51</v>
      </c>
      <c r="G21" s="308" t="s">
        <v>51</v>
      </c>
      <c r="H21" s="308" t="s">
        <v>680</v>
      </c>
      <c r="J21" s="346">
        <v>45295</v>
      </c>
      <c r="K21" s="308">
        <f t="shared" ca="1" si="0"/>
        <v>0</v>
      </c>
      <c r="L21" s="342" cm="1">
        <f t="array" aca="1" ref="L21" ca="1">O21-IF(ExpTaxCount=2,SUM(M21:N21),SUM(M21:M21))</f>
        <v>49454.67</v>
      </c>
      <c r="M21" s="342">
        <f ca="1">$O21/(1+IF(ISERROR($F21),0,IF(ISNA(MATCH($F21,TaxCode,0)),0,OFFSET(Setup!$D$23,MATCH($F21,TaxCode,0),0,1,1)))+IF(ISERROR($G21),0,IF(ISNA(MATCH($G21,TaxCode,0)),0,OFFSET(Setup!$D$23,MATCH($G21,TaxCode,0),0,1,1))))*IF(ISERROR($F21),0,IF(ISNA(MATCH($F21,TaxCode,0)),0,OFFSET(Setup!$D$23,MATCH($F21,TaxCode,0),0,1,1)))</f>
        <v>0</v>
      </c>
      <c r="N21" s="342">
        <f ca="1">$O21/(1+IF(ISERROR($F21),0,IF(ISNA(MATCH($F21,TaxCode,0)),0,OFFSET(Setup!$D$23,MATCH($F21,TaxCode,0),0,1,1)))+IF(ISERROR($G21),0,IF(ISNA(MATCH($G21,TaxCode,0)),0,OFFSET(Setup!$D$23,MATCH($G21,TaxCode,0),0,1,1))))*IF(ISERROR($G21),0,IF(ISNA(MATCH($G21,TaxCode,0)),0,OFFSET(Setup!$D$23,MATCH($G21,TaxCode,0),0,1,1)))</f>
        <v>0</v>
      </c>
      <c r="O21" s="342">
        <f t="shared" si="1"/>
        <v>49454.67</v>
      </c>
      <c r="P21" s="308" t="str">
        <f t="shared" ca="1" si="2"/>
        <v>-</v>
      </c>
    </row>
    <row r="22" spans="1:16" ht="15.95" customHeight="1" x14ac:dyDescent="0.25">
      <c r="D22" s="318" t="s">
        <v>815</v>
      </c>
      <c r="E22" s="347">
        <v>65811.460000000006</v>
      </c>
      <c r="F22" s="308" t="s">
        <v>51</v>
      </c>
      <c r="G22" s="308" t="s">
        <v>51</v>
      </c>
      <c r="H22" s="308" t="s">
        <v>680</v>
      </c>
      <c r="J22" s="346">
        <v>45295</v>
      </c>
      <c r="K22" s="308">
        <f t="shared" ca="1" si="0"/>
        <v>0</v>
      </c>
      <c r="L22" s="342" cm="1">
        <f t="array" aca="1" ref="L22" ca="1">O22-IF(ExpTaxCount=2,SUM(M22:N22),SUM(M22:M22))</f>
        <v>65811.460000000006</v>
      </c>
      <c r="M22" s="342">
        <f ca="1">$O22/(1+IF(ISERROR($F22),0,IF(ISNA(MATCH($F22,TaxCode,0)),0,OFFSET(Setup!$D$23,MATCH($F22,TaxCode,0),0,1,1)))+IF(ISERROR($G22),0,IF(ISNA(MATCH($G22,TaxCode,0)),0,OFFSET(Setup!$D$23,MATCH($G22,TaxCode,0),0,1,1))))*IF(ISERROR($F22),0,IF(ISNA(MATCH($F22,TaxCode,0)),0,OFFSET(Setup!$D$23,MATCH($F22,TaxCode,0),0,1,1)))</f>
        <v>0</v>
      </c>
      <c r="N22" s="342">
        <f ca="1">$O22/(1+IF(ISERROR($F22),0,IF(ISNA(MATCH($F22,TaxCode,0)),0,OFFSET(Setup!$D$23,MATCH($F22,TaxCode,0),0,1,1)))+IF(ISERROR($G22),0,IF(ISNA(MATCH($G22,TaxCode,0)),0,OFFSET(Setup!$D$23,MATCH($G22,TaxCode,0),0,1,1))))*IF(ISERROR($G22),0,IF(ISNA(MATCH($G22,TaxCode,0)),0,OFFSET(Setup!$D$23,MATCH($G22,TaxCode,0),0,1,1)))</f>
        <v>0</v>
      </c>
      <c r="O22" s="342">
        <f t="shared" si="1"/>
        <v>65811.460000000006</v>
      </c>
      <c r="P22" s="308" t="str">
        <f t="shared" ca="1" si="2"/>
        <v>-</v>
      </c>
    </row>
    <row r="23" spans="1:16" ht="15.95" customHeight="1" x14ac:dyDescent="0.25">
      <c r="D23" s="318" t="s">
        <v>816</v>
      </c>
      <c r="E23" s="347">
        <v>100000</v>
      </c>
      <c r="F23" s="308" t="s">
        <v>51</v>
      </c>
      <c r="G23" s="308" t="s">
        <v>51</v>
      </c>
      <c r="H23" s="308" t="s">
        <v>680</v>
      </c>
      <c r="J23" s="346">
        <v>45315</v>
      </c>
      <c r="K23" s="308">
        <f t="shared" ca="1" si="0"/>
        <v>0</v>
      </c>
      <c r="L23" s="342" cm="1">
        <f t="array" aca="1" ref="L23" ca="1">O23-IF(ExpTaxCount=2,SUM(M23:N23),SUM(M23:M23))</f>
        <v>100000</v>
      </c>
      <c r="M23" s="342">
        <f ca="1">$O23/(1+IF(ISERROR($F23),0,IF(ISNA(MATCH($F23,TaxCode,0)),0,OFFSET(Setup!$D$23,MATCH($F23,TaxCode,0),0,1,1)))+IF(ISERROR($G23),0,IF(ISNA(MATCH($G23,TaxCode,0)),0,OFFSET(Setup!$D$23,MATCH($G23,TaxCode,0),0,1,1))))*IF(ISERROR($F23),0,IF(ISNA(MATCH($F23,TaxCode,0)),0,OFFSET(Setup!$D$23,MATCH($F23,TaxCode,0),0,1,1)))</f>
        <v>0</v>
      </c>
      <c r="N23" s="342">
        <f ca="1">$O23/(1+IF(ISERROR($F23),0,IF(ISNA(MATCH($F23,TaxCode,0)),0,OFFSET(Setup!$D$23,MATCH($F23,TaxCode,0),0,1,1)))+IF(ISERROR($G23),0,IF(ISNA(MATCH($G23,TaxCode,0)),0,OFFSET(Setup!$D$23,MATCH($G23,TaxCode,0),0,1,1))))*IF(ISERROR($G23),0,IF(ISNA(MATCH($G23,TaxCode,0)),0,OFFSET(Setup!$D$23,MATCH($G23,TaxCode,0),0,1,1)))</f>
        <v>0</v>
      </c>
      <c r="O23" s="342">
        <f t="shared" si="1"/>
        <v>100000</v>
      </c>
      <c r="P23" s="308" t="str">
        <f t="shared" ca="1" si="2"/>
        <v>-</v>
      </c>
    </row>
    <row r="24" spans="1:16" ht="15.95" customHeight="1" x14ac:dyDescent="0.25">
      <c r="D24" s="318" t="s">
        <v>817</v>
      </c>
      <c r="E24" s="347">
        <v>244500</v>
      </c>
      <c r="F24" s="308" t="s">
        <v>51</v>
      </c>
      <c r="G24" s="308" t="s">
        <v>51</v>
      </c>
      <c r="H24" s="308" t="s">
        <v>680</v>
      </c>
      <c r="J24" s="346">
        <v>45315</v>
      </c>
      <c r="K24" s="308">
        <f t="shared" ca="1" si="0"/>
        <v>0</v>
      </c>
      <c r="L24" s="342" cm="1">
        <f t="array" aca="1" ref="L24" ca="1">O24-IF(ExpTaxCount=2,SUM(M24:N24),SUM(M24:M24))</f>
        <v>244500</v>
      </c>
      <c r="M24" s="342">
        <f ca="1">$O24/(1+IF(ISERROR($F24),0,IF(ISNA(MATCH($F24,TaxCode,0)),0,OFFSET(Setup!$D$23,MATCH($F24,TaxCode,0),0,1,1)))+IF(ISERROR($G24),0,IF(ISNA(MATCH($G24,TaxCode,0)),0,OFFSET(Setup!$D$23,MATCH($G24,TaxCode,0),0,1,1))))*IF(ISERROR($F24),0,IF(ISNA(MATCH($F24,TaxCode,0)),0,OFFSET(Setup!$D$23,MATCH($F24,TaxCode,0),0,1,1)))</f>
        <v>0</v>
      </c>
      <c r="N24" s="342">
        <f ca="1">$O24/(1+IF(ISERROR($F24),0,IF(ISNA(MATCH($F24,TaxCode,0)),0,OFFSET(Setup!$D$23,MATCH($F24,TaxCode,0),0,1,1)))+IF(ISERROR($G24),0,IF(ISNA(MATCH($G24,TaxCode,0)),0,OFFSET(Setup!$D$23,MATCH($G24,TaxCode,0),0,1,1))))*IF(ISERROR($G24),0,IF(ISNA(MATCH($G24,TaxCode,0)),0,OFFSET(Setup!$D$23,MATCH($G24,TaxCode,0),0,1,1)))</f>
        <v>0</v>
      </c>
      <c r="O24" s="342">
        <f t="shared" si="1"/>
        <v>244500</v>
      </c>
      <c r="P24" s="308" t="str">
        <f t="shared" ca="1" si="2"/>
        <v>-</v>
      </c>
    </row>
    <row r="25" spans="1:16" ht="15.95" customHeight="1" x14ac:dyDescent="0.25">
      <c r="D25" s="318" t="s">
        <v>804</v>
      </c>
      <c r="E25" s="347">
        <v>13000</v>
      </c>
      <c r="F25" s="308" t="s">
        <v>51</v>
      </c>
      <c r="G25" s="308" t="s">
        <v>51</v>
      </c>
      <c r="H25" s="308" t="s">
        <v>680</v>
      </c>
      <c r="I25" s="338" t="s">
        <v>185</v>
      </c>
      <c r="J25" s="346">
        <v>45319</v>
      </c>
      <c r="K25" s="308">
        <f t="shared" ca="1" si="0"/>
        <v>0</v>
      </c>
      <c r="L25" s="342" cm="1">
        <f t="array" aca="1" ref="L25" ca="1">O25-IF(ExpTaxCount=2,SUM(M25:N25),SUM(M25:M25))</f>
        <v>13000</v>
      </c>
      <c r="M25" s="342">
        <f ca="1">$O25/(1+IF(ISERROR($F25),0,IF(ISNA(MATCH($F25,TaxCode,0)),0,OFFSET(Setup!$D$23,MATCH($F25,TaxCode,0),0,1,1)))+IF(ISERROR($G25),0,IF(ISNA(MATCH($G25,TaxCode,0)),0,OFFSET(Setup!$D$23,MATCH($G25,TaxCode,0),0,1,1))))*IF(ISERROR($F25),0,IF(ISNA(MATCH($F25,TaxCode,0)),0,OFFSET(Setup!$D$23,MATCH($F25,TaxCode,0),0,1,1)))</f>
        <v>0</v>
      </c>
      <c r="N25" s="342">
        <f ca="1">$O25/(1+IF(ISERROR($F25),0,IF(ISNA(MATCH($F25,TaxCode,0)),0,OFFSET(Setup!$D$23,MATCH($F25,TaxCode,0),0,1,1)))+IF(ISERROR($G25),0,IF(ISNA(MATCH($G25,TaxCode,0)),0,OFFSET(Setup!$D$23,MATCH($G25,TaxCode,0),0,1,1))))*IF(ISERROR($G25),0,IF(ISNA(MATCH($G25,TaxCode,0)),0,OFFSET(Setup!$D$23,MATCH($G25,TaxCode,0),0,1,1)))</f>
        <v>0</v>
      </c>
      <c r="O25" s="342">
        <f t="shared" si="1"/>
        <v>13000</v>
      </c>
      <c r="P25" s="308" t="str">
        <f t="shared" ca="1" si="2"/>
        <v>-</v>
      </c>
    </row>
    <row r="26" spans="1:16" ht="15.95" customHeight="1" x14ac:dyDescent="0.25">
      <c r="D26" s="318" t="s">
        <v>805</v>
      </c>
      <c r="E26" s="347">
        <v>2340</v>
      </c>
      <c r="F26" s="308" t="s">
        <v>51</v>
      </c>
      <c r="G26" s="308" t="s">
        <v>51</v>
      </c>
      <c r="H26" s="308" t="s">
        <v>680</v>
      </c>
      <c r="I26" s="338" t="s">
        <v>185</v>
      </c>
      <c r="J26" s="346">
        <v>45319</v>
      </c>
      <c r="K26" s="308">
        <f t="shared" ca="1" si="0"/>
        <v>0</v>
      </c>
      <c r="L26" s="342" cm="1">
        <f t="array" aca="1" ref="L26" ca="1">O26-IF(ExpTaxCount=2,SUM(M26:N26),SUM(M26:M26))</f>
        <v>2340</v>
      </c>
      <c r="M26" s="342">
        <f ca="1">$O26/(1+IF(ISERROR($F26),0,IF(ISNA(MATCH($F26,TaxCode,0)),0,OFFSET(Setup!$D$23,MATCH($F26,TaxCode,0),0,1,1)))+IF(ISERROR($G26),0,IF(ISNA(MATCH($G26,TaxCode,0)),0,OFFSET(Setup!$D$23,MATCH($G26,TaxCode,0),0,1,1))))*IF(ISERROR($F26),0,IF(ISNA(MATCH($F26,TaxCode,0)),0,OFFSET(Setup!$D$23,MATCH($F26,TaxCode,0),0,1,1)))</f>
        <v>0</v>
      </c>
      <c r="N26" s="342">
        <f ca="1">$O26/(1+IF(ISERROR($F26),0,IF(ISNA(MATCH($F26,TaxCode,0)),0,OFFSET(Setup!$D$23,MATCH($F26,TaxCode,0),0,1,1)))+IF(ISERROR($G26),0,IF(ISNA(MATCH($G26,TaxCode,0)),0,OFFSET(Setup!$D$23,MATCH($G26,TaxCode,0),0,1,1))))*IF(ISERROR($G26),0,IF(ISNA(MATCH($G26,TaxCode,0)),0,OFFSET(Setup!$D$23,MATCH($G26,TaxCode,0),0,1,1)))</f>
        <v>0</v>
      </c>
      <c r="O26" s="342">
        <f t="shared" si="1"/>
        <v>2340</v>
      </c>
      <c r="P26" s="308" t="str">
        <f t="shared" ca="1" si="2"/>
        <v>-</v>
      </c>
    </row>
    <row r="27" spans="1:16" ht="15.95" customHeight="1" x14ac:dyDescent="0.25">
      <c r="E27" s="347"/>
      <c r="K27" s="308">
        <f t="shared" ca="1" si="0"/>
        <v>0</v>
      </c>
      <c r="L27" s="342" cm="1">
        <f t="array" aca="1" ref="L27" ca="1">O27-IF(ExpTaxCount=2,SUM(M27:N27),SUM(M27:M27))</f>
        <v>0</v>
      </c>
      <c r="M27" s="342">
        <f ca="1">$O27/(1+IF(ISERROR($F27),0,IF(ISNA(MATCH($F27,TaxCode,0)),0,OFFSET(Setup!$D$23,MATCH($F27,TaxCode,0),0,1,1)))+IF(ISERROR($G27),0,IF(ISNA(MATCH($G27,TaxCode,0)),0,OFFSET(Setup!$D$23,MATCH($G27,TaxCode,0),0,1,1))))*IF(ISERROR($F27),0,IF(ISNA(MATCH($F27,TaxCode,0)),0,OFFSET(Setup!$D$23,MATCH($F27,TaxCode,0),0,1,1)))</f>
        <v>0</v>
      </c>
      <c r="N27" s="342">
        <f ca="1">$O27/(1+IF(ISERROR($F27),0,IF(ISNA(MATCH($F27,TaxCode,0)),0,OFFSET(Setup!$D$23,MATCH($F27,TaxCode,0),0,1,1)))+IF(ISERROR($G27),0,IF(ISNA(MATCH($G27,TaxCode,0)),0,OFFSET(Setup!$D$23,MATCH($G27,TaxCode,0),0,1,1))))*IF(ISERROR($G27),0,IF(ISNA(MATCH($G27,TaxCode,0)),0,OFFSET(Setup!$D$23,MATCH($G27,TaxCode,0),0,1,1)))</f>
        <v>0</v>
      </c>
      <c r="O27" s="342">
        <f t="shared" si="1"/>
        <v>0</v>
      </c>
      <c r="P27" s="308" t="str">
        <f t="shared" ca="1" si="2"/>
        <v>-</v>
      </c>
    </row>
    <row r="28" spans="1:16" ht="15.95" customHeight="1" x14ac:dyDescent="0.25">
      <c r="E28" s="347"/>
      <c r="K28" s="308">
        <f t="shared" ca="1" si="0"/>
        <v>0</v>
      </c>
      <c r="L28" s="342" cm="1">
        <f t="array" aca="1" ref="L28" ca="1">O28-IF(ExpTaxCount=2,SUM(M28:N28),SUM(M28:M28))</f>
        <v>0</v>
      </c>
      <c r="M28" s="342">
        <f ca="1">$O28/(1+IF(ISERROR($F28),0,IF(ISNA(MATCH($F28,TaxCode,0)),0,OFFSET(Setup!$D$23,MATCH($F28,TaxCode,0),0,1,1)))+IF(ISERROR($G28),0,IF(ISNA(MATCH($G28,TaxCode,0)),0,OFFSET(Setup!$D$23,MATCH($G28,TaxCode,0),0,1,1))))*IF(ISERROR($F28),0,IF(ISNA(MATCH($F28,TaxCode,0)),0,OFFSET(Setup!$D$23,MATCH($F28,TaxCode,0),0,1,1)))</f>
        <v>0</v>
      </c>
      <c r="N28" s="342">
        <f ca="1">$O28/(1+IF(ISERROR($F28),0,IF(ISNA(MATCH($F28,TaxCode,0)),0,OFFSET(Setup!$D$23,MATCH($F28,TaxCode,0),0,1,1)))+IF(ISERROR($G28),0,IF(ISNA(MATCH($G28,TaxCode,0)),0,OFFSET(Setup!$D$23,MATCH($G28,TaxCode,0),0,1,1))))*IF(ISERROR($G28),0,IF(ISNA(MATCH($G28,TaxCode,0)),0,OFFSET(Setup!$D$23,MATCH($G28,TaxCode,0),0,1,1)))</f>
        <v>0</v>
      </c>
      <c r="O28" s="342">
        <f t="shared" si="1"/>
        <v>0</v>
      </c>
      <c r="P28" s="308" t="str">
        <f t="shared" ca="1" si="2"/>
        <v>-</v>
      </c>
    </row>
    <row r="29" spans="1:16" ht="15.95" customHeight="1" x14ac:dyDescent="0.25">
      <c r="E29" s="347"/>
      <c r="K29" s="308">
        <f t="shared" ca="1" si="0"/>
        <v>0</v>
      </c>
      <c r="L29" s="342" cm="1">
        <f t="array" aca="1" ref="L29" ca="1">O29-IF(ExpTaxCount=2,SUM(M29:N29),SUM(M29:M29))</f>
        <v>0</v>
      </c>
      <c r="M29" s="342">
        <f ca="1">$O29/(1+IF(ISERROR($F29),0,IF(ISNA(MATCH($F29,TaxCode,0)),0,OFFSET(Setup!$D$23,MATCH($F29,TaxCode,0),0,1,1)))+IF(ISERROR($G29),0,IF(ISNA(MATCH($G29,TaxCode,0)),0,OFFSET(Setup!$D$23,MATCH($G29,TaxCode,0),0,1,1))))*IF(ISERROR($F29),0,IF(ISNA(MATCH($F29,TaxCode,0)),0,OFFSET(Setup!$D$23,MATCH($F29,TaxCode,0),0,1,1)))</f>
        <v>0</v>
      </c>
      <c r="N29" s="342">
        <f ca="1">$O29/(1+IF(ISERROR($F29),0,IF(ISNA(MATCH($F29,TaxCode,0)),0,OFFSET(Setup!$D$23,MATCH($F29,TaxCode,0),0,1,1)))+IF(ISERROR($G29),0,IF(ISNA(MATCH($G29,TaxCode,0)),0,OFFSET(Setup!$D$23,MATCH($G29,TaxCode,0),0,1,1))))*IF(ISERROR($G29),0,IF(ISNA(MATCH($G29,TaxCode,0)),0,OFFSET(Setup!$D$23,MATCH($G29,TaxCode,0),0,1,1)))</f>
        <v>0</v>
      </c>
      <c r="O29" s="342">
        <f t="shared" si="1"/>
        <v>0</v>
      </c>
      <c r="P29" s="308" t="str">
        <f t="shared" ca="1" si="2"/>
        <v>-</v>
      </c>
    </row>
    <row r="30" spans="1:16" ht="15.95" customHeight="1" x14ac:dyDescent="0.25">
      <c r="E30" s="347"/>
      <c r="K30" s="308">
        <f t="shared" ca="1" si="0"/>
        <v>0</v>
      </c>
      <c r="L30" s="342" cm="1">
        <f t="array" aca="1" ref="L30" ca="1">O30-IF(ExpTaxCount=2,SUM(M30:N30),SUM(M30:M30))</f>
        <v>0</v>
      </c>
      <c r="M30" s="342">
        <f ca="1">$O30/(1+IF(ISERROR($F30),0,IF(ISNA(MATCH($F30,TaxCode,0)),0,OFFSET(Setup!$D$23,MATCH($F30,TaxCode,0),0,1,1)))+IF(ISERROR($G30),0,IF(ISNA(MATCH($G30,TaxCode,0)),0,OFFSET(Setup!$D$23,MATCH($G30,TaxCode,0),0,1,1))))*IF(ISERROR($F30),0,IF(ISNA(MATCH($F30,TaxCode,0)),0,OFFSET(Setup!$D$23,MATCH($F30,TaxCode,0),0,1,1)))</f>
        <v>0</v>
      </c>
      <c r="N30" s="342">
        <f ca="1">$O30/(1+IF(ISERROR($F30),0,IF(ISNA(MATCH($F30,TaxCode,0)),0,OFFSET(Setup!$D$23,MATCH($F30,TaxCode,0),0,1,1)))+IF(ISERROR($G30),0,IF(ISNA(MATCH($G30,TaxCode,0)),0,OFFSET(Setup!$D$23,MATCH($G30,TaxCode,0),0,1,1))))*IF(ISERROR($G30),0,IF(ISNA(MATCH($G30,TaxCode,0)),0,OFFSET(Setup!$D$23,MATCH($G30,TaxCode,0),0,1,1)))</f>
        <v>0</v>
      </c>
      <c r="O30" s="342">
        <f t="shared" si="1"/>
        <v>0</v>
      </c>
      <c r="P30" s="308" t="str">
        <f t="shared" ca="1" si="2"/>
        <v>-</v>
      </c>
    </row>
    <row r="31" spans="1:16" ht="15.95" customHeight="1" x14ac:dyDescent="0.25">
      <c r="E31" s="347"/>
      <c r="K31" s="308">
        <f t="shared" ca="1" si="0"/>
        <v>0</v>
      </c>
      <c r="L31" s="342" cm="1">
        <f t="array" aca="1" ref="L31" ca="1">O31-IF(ExpTaxCount=2,SUM(M31:N31),SUM(M31:M31))</f>
        <v>0</v>
      </c>
      <c r="M31" s="342">
        <f ca="1">$O31/(1+IF(ISERROR($F31),0,IF(ISNA(MATCH($F31,TaxCode,0)),0,OFFSET(Setup!$D$23,MATCH($F31,TaxCode,0),0,1,1)))+IF(ISERROR($G31),0,IF(ISNA(MATCH($G31,TaxCode,0)),0,OFFSET(Setup!$D$23,MATCH($G31,TaxCode,0),0,1,1))))*IF(ISERROR($F31),0,IF(ISNA(MATCH($F31,TaxCode,0)),0,OFFSET(Setup!$D$23,MATCH($F31,TaxCode,0),0,1,1)))</f>
        <v>0</v>
      </c>
      <c r="N31" s="342">
        <f ca="1">$O31/(1+IF(ISERROR($F31),0,IF(ISNA(MATCH($F31,TaxCode,0)),0,OFFSET(Setup!$D$23,MATCH($F31,TaxCode,0),0,1,1)))+IF(ISERROR($G31),0,IF(ISNA(MATCH($G31,TaxCode,0)),0,OFFSET(Setup!$D$23,MATCH($G31,TaxCode,0),0,1,1))))*IF(ISERROR($G31),0,IF(ISNA(MATCH($G31,TaxCode,0)),0,OFFSET(Setup!$D$23,MATCH($G31,TaxCode,0),0,1,1)))</f>
        <v>0</v>
      </c>
      <c r="O31" s="342">
        <f t="shared" si="1"/>
        <v>0</v>
      </c>
      <c r="P31" s="308" t="str">
        <f t="shared" ca="1" si="2"/>
        <v>-</v>
      </c>
    </row>
    <row r="32" spans="1:16" ht="15.95" customHeight="1" x14ac:dyDescent="0.25">
      <c r="E32" s="347"/>
      <c r="K32" s="308">
        <f t="shared" ca="1" si="0"/>
        <v>0</v>
      </c>
      <c r="L32" s="342" cm="1">
        <f t="array" aca="1" ref="L32" ca="1">O32-IF(ExpTaxCount=2,SUM(M32:N32),SUM(M32:M32))</f>
        <v>0</v>
      </c>
      <c r="M32" s="342">
        <f ca="1">$O32/(1+IF(ISERROR($F32),0,IF(ISNA(MATCH($F32,TaxCode,0)),0,OFFSET(Setup!$D$23,MATCH($F32,TaxCode,0),0,1,1)))+IF(ISERROR($G32),0,IF(ISNA(MATCH($G32,TaxCode,0)),0,OFFSET(Setup!$D$23,MATCH($G32,TaxCode,0),0,1,1))))*IF(ISERROR($F32),0,IF(ISNA(MATCH($F32,TaxCode,0)),0,OFFSET(Setup!$D$23,MATCH($F32,TaxCode,0),0,1,1)))</f>
        <v>0</v>
      </c>
      <c r="N32" s="342">
        <f ca="1">$O32/(1+IF(ISERROR($F32),0,IF(ISNA(MATCH($F32,TaxCode,0)),0,OFFSET(Setup!$D$23,MATCH($F32,TaxCode,0),0,1,1)))+IF(ISERROR($G32),0,IF(ISNA(MATCH($G32,TaxCode,0)),0,OFFSET(Setup!$D$23,MATCH($G32,TaxCode,0),0,1,1))))*IF(ISERROR($G32),0,IF(ISNA(MATCH($G32,TaxCode,0)),0,OFFSET(Setup!$D$23,MATCH($G32,TaxCode,0),0,1,1)))</f>
        <v>0</v>
      </c>
      <c r="O32" s="342">
        <f t="shared" si="1"/>
        <v>0</v>
      </c>
      <c r="P32" s="308" t="str">
        <f t="shared" ca="1" si="2"/>
        <v>-</v>
      </c>
    </row>
    <row r="33" spans="5:16" ht="15.95" customHeight="1" x14ac:dyDescent="0.25">
      <c r="E33" s="347"/>
      <c r="K33" s="308">
        <f t="shared" ca="1" si="0"/>
        <v>0</v>
      </c>
      <c r="L33" s="342" cm="1">
        <f t="array" aca="1" ref="L33" ca="1">O33-IF(ExpTaxCount=2,SUM(M33:N33),SUM(M33:M33))</f>
        <v>0</v>
      </c>
      <c r="M33" s="342">
        <f ca="1">$O33/(1+IF(ISERROR($F33),0,IF(ISNA(MATCH($F33,TaxCode,0)),0,OFFSET(Setup!$D$23,MATCH($F33,TaxCode,0),0,1,1)))+IF(ISERROR($G33),0,IF(ISNA(MATCH($G33,TaxCode,0)),0,OFFSET(Setup!$D$23,MATCH($G33,TaxCode,0),0,1,1))))*IF(ISERROR($F33),0,IF(ISNA(MATCH($F33,TaxCode,0)),0,OFFSET(Setup!$D$23,MATCH($F33,TaxCode,0),0,1,1)))</f>
        <v>0</v>
      </c>
      <c r="N33" s="342">
        <f ca="1">$O33/(1+IF(ISERROR($F33),0,IF(ISNA(MATCH($F33,TaxCode,0)),0,OFFSET(Setup!$D$23,MATCH($F33,TaxCode,0),0,1,1)))+IF(ISERROR($G33),0,IF(ISNA(MATCH($G33,TaxCode,0)),0,OFFSET(Setup!$D$23,MATCH($G33,TaxCode,0),0,1,1))))*IF(ISERROR($G33),0,IF(ISNA(MATCH($G33,TaxCode,0)),0,OFFSET(Setup!$D$23,MATCH($G33,TaxCode,0),0,1,1)))</f>
        <v>0</v>
      </c>
      <c r="O33" s="342">
        <f t="shared" si="1"/>
        <v>0</v>
      </c>
      <c r="P33" s="308" t="str">
        <f t="shared" ca="1" si="2"/>
        <v>-</v>
      </c>
    </row>
    <row r="34" spans="5:16" ht="15.95" customHeight="1" x14ac:dyDescent="0.25">
      <c r="E34" s="347"/>
      <c r="K34" s="308">
        <f t="shared" ca="1" si="0"/>
        <v>0</v>
      </c>
      <c r="L34" s="342" cm="1">
        <f t="array" aca="1" ref="L34" ca="1">O34-IF(ExpTaxCount=2,SUM(M34:N34),SUM(M34:M34))</f>
        <v>0</v>
      </c>
      <c r="M34" s="342">
        <f ca="1">$O34/(1+IF(ISERROR($F34),0,IF(ISNA(MATCH($F34,TaxCode,0)),0,OFFSET(Setup!$D$23,MATCH($F34,TaxCode,0),0,1,1)))+IF(ISERROR($G34),0,IF(ISNA(MATCH($G34,TaxCode,0)),0,OFFSET(Setup!$D$23,MATCH($G34,TaxCode,0),0,1,1))))*IF(ISERROR($F34),0,IF(ISNA(MATCH($F34,TaxCode,0)),0,OFFSET(Setup!$D$23,MATCH($F34,TaxCode,0),0,1,1)))</f>
        <v>0</v>
      </c>
      <c r="N34" s="342">
        <f ca="1">$O34/(1+IF(ISERROR($F34),0,IF(ISNA(MATCH($F34,TaxCode,0)),0,OFFSET(Setup!$D$23,MATCH($F34,TaxCode,0),0,1,1)))+IF(ISERROR($G34),0,IF(ISNA(MATCH($G34,TaxCode,0)),0,OFFSET(Setup!$D$23,MATCH($G34,TaxCode,0),0,1,1))))*IF(ISERROR($G34),0,IF(ISNA(MATCH($G34,TaxCode,0)),0,OFFSET(Setup!$D$23,MATCH($G34,TaxCode,0),0,1,1)))</f>
        <v>0</v>
      </c>
      <c r="O34" s="342">
        <f t="shared" si="1"/>
        <v>0</v>
      </c>
      <c r="P34" s="308" t="str">
        <f t="shared" ca="1" si="2"/>
        <v>-</v>
      </c>
    </row>
    <row r="35" spans="5:16" ht="15.95" customHeight="1" x14ac:dyDescent="0.25">
      <c r="K35" s="308">
        <f t="shared" ca="1" si="0"/>
        <v>0</v>
      </c>
      <c r="L35" s="342" cm="1">
        <f t="array" aca="1" ref="L35" ca="1">O35-IF(ExpTaxCount=2,SUM(M35:N35),SUM(M35:M35))</f>
        <v>0</v>
      </c>
      <c r="M35" s="342">
        <f ca="1">$O35/(1+IF(ISERROR($F35),0,IF(ISNA(MATCH($F35,TaxCode,0)),0,OFFSET(Setup!$D$23,MATCH($F35,TaxCode,0),0,1,1)))+IF(ISERROR($G35),0,IF(ISNA(MATCH($G35,TaxCode,0)),0,OFFSET(Setup!$D$23,MATCH($G35,TaxCode,0),0,1,1))))*IF(ISERROR($F35),0,IF(ISNA(MATCH($F35,TaxCode,0)),0,OFFSET(Setup!$D$23,MATCH($F35,TaxCode,0),0,1,1)))</f>
        <v>0</v>
      </c>
      <c r="N35" s="342">
        <f ca="1">$O35/(1+IF(ISERROR($F35),0,IF(ISNA(MATCH($F35,TaxCode,0)),0,OFFSET(Setup!$D$23,MATCH($F35,TaxCode,0),0,1,1)))+IF(ISERROR($G35),0,IF(ISNA(MATCH($G35,TaxCode,0)),0,OFFSET(Setup!$D$23,MATCH($G35,TaxCode,0),0,1,1))))*IF(ISERROR($G35),0,IF(ISNA(MATCH($G35,TaxCode,0)),0,OFFSET(Setup!$D$23,MATCH($G35,TaxCode,0),0,1,1)))</f>
        <v>0</v>
      </c>
      <c r="O35" s="342">
        <f t="shared" si="1"/>
        <v>0</v>
      </c>
      <c r="P35" s="308" t="str">
        <f t="shared" ca="1" si="2"/>
        <v>-</v>
      </c>
    </row>
    <row r="36" spans="5:16" ht="15.95" customHeight="1" x14ac:dyDescent="0.25">
      <c r="K36" s="308">
        <f t="shared" ca="1" si="0"/>
        <v>0</v>
      </c>
      <c r="L36" s="342" cm="1">
        <f t="array" aca="1" ref="L36" ca="1">O36-IF(ExpTaxCount=2,SUM(M36:N36),SUM(M36:M36))</f>
        <v>0</v>
      </c>
      <c r="M36" s="342">
        <f ca="1">$O36/(1+IF(ISERROR($F36),0,IF(ISNA(MATCH($F36,TaxCode,0)),0,OFFSET(Setup!$D$23,MATCH($F36,TaxCode,0),0,1,1)))+IF(ISERROR($G36),0,IF(ISNA(MATCH($G36,TaxCode,0)),0,OFFSET(Setup!$D$23,MATCH($G36,TaxCode,0),0,1,1))))*IF(ISERROR($F36),0,IF(ISNA(MATCH($F36,TaxCode,0)),0,OFFSET(Setup!$D$23,MATCH($F36,TaxCode,0),0,1,1)))</f>
        <v>0</v>
      </c>
      <c r="N36" s="342">
        <f ca="1">$O36/(1+IF(ISERROR($F36),0,IF(ISNA(MATCH($F36,TaxCode,0)),0,OFFSET(Setup!$D$23,MATCH($F36,TaxCode,0),0,1,1)))+IF(ISERROR($G36),0,IF(ISNA(MATCH($G36,TaxCode,0)),0,OFFSET(Setup!$D$23,MATCH($G36,TaxCode,0),0,1,1))))*IF(ISERROR($G36),0,IF(ISNA(MATCH($G36,TaxCode,0)),0,OFFSET(Setup!$D$23,MATCH($G36,TaxCode,0),0,1,1)))</f>
        <v>0</v>
      </c>
      <c r="O36" s="342">
        <f t="shared" si="1"/>
        <v>0</v>
      </c>
      <c r="P36" s="308" t="str">
        <f t="shared" ca="1" si="2"/>
        <v>-</v>
      </c>
    </row>
    <row r="37" spans="5:16" ht="15.95" customHeight="1" x14ac:dyDescent="0.25">
      <c r="K37" s="308">
        <f t="shared" ca="1" si="0"/>
        <v>0</v>
      </c>
      <c r="L37" s="342" cm="1">
        <f t="array" aca="1" ref="L37" ca="1">O37-IF(ExpTaxCount=2,SUM(M37:N37),SUM(M37:M37))</f>
        <v>0</v>
      </c>
      <c r="M37" s="342">
        <f ca="1">$O37/(1+IF(ISERROR($F37),0,IF(ISNA(MATCH($F37,TaxCode,0)),0,OFFSET(Setup!$D$23,MATCH($F37,TaxCode,0),0,1,1)))+IF(ISERROR($G37),0,IF(ISNA(MATCH($G37,TaxCode,0)),0,OFFSET(Setup!$D$23,MATCH($G37,TaxCode,0),0,1,1))))*IF(ISERROR($F37),0,IF(ISNA(MATCH($F37,TaxCode,0)),0,OFFSET(Setup!$D$23,MATCH($F37,TaxCode,0),0,1,1)))</f>
        <v>0</v>
      </c>
      <c r="N37" s="342">
        <f ca="1">$O37/(1+IF(ISERROR($F37),0,IF(ISNA(MATCH($F37,TaxCode,0)),0,OFFSET(Setup!$D$23,MATCH($F37,TaxCode,0),0,1,1)))+IF(ISERROR($G37),0,IF(ISNA(MATCH($G37,TaxCode,0)),0,OFFSET(Setup!$D$23,MATCH($G37,TaxCode,0),0,1,1))))*IF(ISERROR($G37),0,IF(ISNA(MATCH($G37,TaxCode,0)),0,OFFSET(Setup!$D$23,MATCH($G37,TaxCode,0),0,1,1)))</f>
        <v>0</v>
      </c>
      <c r="O37" s="342">
        <f t="shared" si="1"/>
        <v>0</v>
      </c>
      <c r="P37" s="308" t="str">
        <f t="shared" ca="1" si="2"/>
        <v>-</v>
      </c>
    </row>
    <row r="38" spans="5:16" ht="15.95" customHeight="1" x14ac:dyDescent="0.25">
      <c r="K38" s="308">
        <f t="shared" ca="1" si="0"/>
        <v>0</v>
      </c>
      <c r="L38" s="342" cm="1">
        <f t="array" aca="1" ref="L38" ca="1">O38-IF(ExpTaxCount=2,SUM(M38:N38),SUM(M38:M38))</f>
        <v>0</v>
      </c>
      <c r="M38" s="342">
        <f ca="1">$O38/(1+IF(ISERROR($F38),0,IF(ISNA(MATCH($F38,TaxCode,0)),0,OFFSET(Setup!$D$23,MATCH($F38,TaxCode,0),0,1,1)))+IF(ISERROR($G38),0,IF(ISNA(MATCH($G38,TaxCode,0)),0,OFFSET(Setup!$D$23,MATCH($G38,TaxCode,0),0,1,1))))*IF(ISERROR($F38),0,IF(ISNA(MATCH($F38,TaxCode,0)),0,OFFSET(Setup!$D$23,MATCH($F38,TaxCode,0),0,1,1)))</f>
        <v>0</v>
      </c>
      <c r="N38" s="342">
        <f ca="1">$O38/(1+IF(ISERROR($F38),0,IF(ISNA(MATCH($F38,TaxCode,0)),0,OFFSET(Setup!$D$23,MATCH($F38,TaxCode,0),0,1,1)))+IF(ISERROR($G38),0,IF(ISNA(MATCH($G38,TaxCode,0)),0,OFFSET(Setup!$D$23,MATCH($G38,TaxCode,0),0,1,1))))*IF(ISERROR($G38),0,IF(ISNA(MATCH($G38,TaxCode,0)),0,OFFSET(Setup!$D$23,MATCH($G38,TaxCode,0),0,1,1)))</f>
        <v>0</v>
      </c>
      <c r="O38" s="342">
        <f t="shared" si="1"/>
        <v>0</v>
      </c>
      <c r="P38" s="308" t="str">
        <f t="shared" ca="1" si="2"/>
        <v>-</v>
      </c>
    </row>
    <row r="39" spans="5:16" ht="15.95" customHeight="1" x14ac:dyDescent="0.25">
      <c r="K39" s="308">
        <f t="shared" ca="1" si="0"/>
        <v>0</v>
      </c>
      <c r="L39" s="342" cm="1">
        <f t="array" aca="1" ref="L39" ca="1">O39-IF(ExpTaxCount=2,SUM(M39:N39),SUM(M39:M39))</f>
        <v>0</v>
      </c>
      <c r="M39" s="342">
        <f ca="1">$O39/(1+IF(ISERROR($F39),0,IF(ISNA(MATCH($F39,TaxCode,0)),0,OFFSET(Setup!$D$23,MATCH($F39,TaxCode,0),0,1,1)))+IF(ISERROR($G39),0,IF(ISNA(MATCH($G39,TaxCode,0)),0,OFFSET(Setup!$D$23,MATCH($G39,TaxCode,0),0,1,1))))*IF(ISERROR($F39),0,IF(ISNA(MATCH($F39,TaxCode,0)),0,OFFSET(Setup!$D$23,MATCH($F39,TaxCode,0),0,1,1)))</f>
        <v>0</v>
      </c>
      <c r="N39" s="342">
        <f ca="1">$O39/(1+IF(ISERROR($F39),0,IF(ISNA(MATCH($F39,TaxCode,0)),0,OFFSET(Setup!$D$23,MATCH($F39,TaxCode,0),0,1,1)))+IF(ISERROR($G39),0,IF(ISNA(MATCH($G39,TaxCode,0)),0,OFFSET(Setup!$D$23,MATCH($G39,TaxCode,0),0,1,1))))*IF(ISERROR($G39),0,IF(ISNA(MATCH($G39,TaxCode,0)),0,OFFSET(Setup!$D$23,MATCH($G39,TaxCode,0),0,1,1)))</f>
        <v>0</v>
      </c>
      <c r="O39" s="342">
        <f t="shared" si="1"/>
        <v>0</v>
      </c>
      <c r="P39" s="308" t="str">
        <f t="shared" ca="1" si="2"/>
        <v>-</v>
      </c>
    </row>
    <row r="40" spans="5:16" ht="15.95" customHeight="1" x14ac:dyDescent="0.25">
      <c r="K40" s="308">
        <f t="shared" ca="1" si="0"/>
        <v>0</v>
      </c>
      <c r="L40" s="342" cm="1">
        <f t="array" aca="1" ref="L40" ca="1">O40-IF(ExpTaxCount=2,SUM(M40:N40),SUM(M40:M40))</f>
        <v>0</v>
      </c>
      <c r="M40" s="342">
        <f ca="1">$O40/(1+IF(ISERROR($F40),0,IF(ISNA(MATCH($F40,TaxCode,0)),0,OFFSET(Setup!$D$23,MATCH($F40,TaxCode,0),0,1,1)))+IF(ISERROR($G40),0,IF(ISNA(MATCH($G40,TaxCode,0)),0,OFFSET(Setup!$D$23,MATCH($G40,TaxCode,0),0,1,1))))*IF(ISERROR($F40),0,IF(ISNA(MATCH($F40,TaxCode,0)),0,OFFSET(Setup!$D$23,MATCH($F40,TaxCode,0),0,1,1)))</f>
        <v>0</v>
      </c>
      <c r="N40" s="342">
        <f ca="1">$O40/(1+IF(ISERROR($F40),0,IF(ISNA(MATCH($F40,TaxCode,0)),0,OFFSET(Setup!$D$23,MATCH($F40,TaxCode,0),0,1,1)))+IF(ISERROR($G40),0,IF(ISNA(MATCH($G40,TaxCode,0)),0,OFFSET(Setup!$D$23,MATCH($G40,TaxCode,0),0,1,1))))*IF(ISERROR($G40),0,IF(ISNA(MATCH($G40,TaxCode,0)),0,OFFSET(Setup!$D$23,MATCH($G40,TaxCode,0),0,1,1)))</f>
        <v>0</v>
      </c>
      <c r="O40" s="342">
        <f t="shared" si="1"/>
        <v>0</v>
      </c>
      <c r="P40" s="308" t="str">
        <f t="shared" ca="1" si="2"/>
        <v>-</v>
      </c>
    </row>
    <row r="41" spans="5:16" ht="15.95" customHeight="1" x14ac:dyDescent="0.25">
      <c r="K41" s="308">
        <f t="shared" ca="1" si="0"/>
        <v>0</v>
      </c>
      <c r="L41" s="342" cm="1">
        <f t="array" aca="1" ref="L41" ca="1">O41-IF(ExpTaxCount=2,SUM(M41:N41),SUM(M41:M41))</f>
        <v>0</v>
      </c>
      <c r="M41" s="342">
        <f ca="1">$O41/(1+IF(ISERROR($F41),0,IF(ISNA(MATCH($F41,TaxCode,0)),0,OFFSET(Setup!$D$23,MATCH($F41,TaxCode,0),0,1,1)))+IF(ISERROR($G41),0,IF(ISNA(MATCH($G41,TaxCode,0)),0,OFFSET(Setup!$D$23,MATCH($G41,TaxCode,0),0,1,1))))*IF(ISERROR($F41),0,IF(ISNA(MATCH($F41,TaxCode,0)),0,OFFSET(Setup!$D$23,MATCH($F41,TaxCode,0),0,1,1)))</f>
        <v>0</v>
      </c>
      <c r="N41" s="342">
        <f ca="1">$O41/(1+IF(ISERROR($F41),0,IF(ISNA(MATCH($F41,TaxCode,0)),0,OFFSET(Setup!$D$23,MATCH($F41,TaxCode,0),0,1,1)))+IF(ISERROR($G41),0,IF(ISNA(MATCH($G41,TaxCode,0)),0,OFFSET(Setup!$D$23,MATCH($G41,TaxCode,0),0,1,1))))*IF(ISERROR($G41),0,IF(ISNA(MATCH($G41,TaxCode,0)),0,OFFSET(Setup!$D$23,MATCH($G41,TaxCode,0),0,1,1)))</f>
        <v>0</v>
      </c>
      <c r="O41" s="342">
        <f t="shared" si="1"/>
        <v>0</v>
      </c>
      <c r="P41" s="308" t="str">
        <f t="shared" ca="1" si="2"/>
        <v>-</v>
      </c>
    </row>
    <row r="42" spans="5:16" ht="15.95" customHeight="1" x14ac:dyDescent="0.25">
      <c r="K42" s="308">
        <f t="shared" ca="1" si="0"/>
        <v>0</v>
      </c>
      <c r="L42" s="342" cm="1">
        <f t="array" aca="1" ref="L42" ca="1">O42-IF(ExpTaxCount=2,SUM(M42:N42),SUM(M42:M42))</f>
        <v>0</v>
      </c>
      <c r="M42" s="342">
        <f ca="1">$O42/(1+IF(ISERROR($F42),0,IF(ISNA(MATCH($F42,TaxCode,0)),0,OFFSET(Setup!$D$23,MATCH($F42,TaxCode,0),0,1,1)))+IF(ISERROR($G42),0,IF(ISNA(MATCH($G42,TaxCode,0)),0,OFFSET(Setup!$D$23,MATCH($G42,TaxCode,0),0,1,1))))*IF(ISERROR($F42),0,IF(ISNA(MATCH($F42,TaxCode,0)),0,OFFSET(Setup!$D$23,MATCH($F42,TaxCode,0),0,1,1)))</f>
        <v>0</v>
      </c>
      <c r="N42" s="342">
        <f ca="1">$O42/(1+IF(ISERROR($F42),0,IF(ISNA(MATCH($F42,TaxCode,0)),0,OFFSET(Setup!$D$23,MATCH($F42,TaxCode,0),0,1,1)))+IF(ISERROR($G42),0,IF(ISNA(MATCH($G42,TaxCode,0)),0,OFFSET(Setup!$D$23,MATCH($G42,TaxCode,0),0,1,1))))*IF(ISERROR($G42),0,IF(ISNA(MATCH($G42,TaxCode,0)),0,OFFSET(Setup!$D$23,MATCH($G42,TaxCode,0),0,1,1)))</f>
        <v>0</v>
      </c>
      <c r="O42" s="342">
        <f t="shared" si="1"/>
        <v>0</v>
      </c>
      <c r="P42" s="308" t="str">
        <f t="shared" ca="1" si="2"/>
        <v>-</v>
      </c>
    </row>
    <row r="43" spans="5:16" ht="15.95" customHeight="1" x14ac:dyDescent="0.25">
      <c r="K43" s="308">
        <f t="shared" ca="1" si="0"/>
        <v>0</v>
      </c>
      <c r="L43" s="342" cm="1">
        <f t="array" aca="1" ref="L43" ca="1">O43-IF(ExpTaxCount=2,SUM(M43:N43),SUM(M43:M43))</f>
        <v>0</v>
      </c>
      <c r="M43" s="342">
        <f ca="1">$O43/(1+IF(ISERROR($F43),0,IF(ISNA(MATCH($F43,TaxCode,0)),0,OFFSET(Setup!$D$23,MATCH($F43,TaxCode,0),0,1,1)))+IF(ISERROR($G43),0,IF(ISNA(MATCH($G43,TaxCode,0)),0,OFFSET(Setup!$D$23,MATCH($G43,TaxCode,0),0,1,1))))*IF(ISERROR($F43),0,IF(ISNA(MATCH($F43,TaxCode,0)),0,OFFSET(Setup!$D$23,MATCH($F43,TaxCode,0),0,1,1)))</f>
        <v>0</v>
      </c>
      <c r="N43" s="342">
        <f ca="1">$O43/(1+IF(ISERROR($F43),0,IF(ISNA(MATCH($F43,TaxCode,0)),0,OFFSET(Setup!$D$23,MATCH($F43,TaxCode,0),0,1,1)))+IF(ISERROR($G43),0,IF(ISNA(MATCH($G43,TaxCode,0)),0,OFFSET(Setup!$D$23,MATCH($G43,TaxCode,0),0,1,1))))*IF(ISERROR($G43),0,IF(ISNA(MATCH($G43,TaxCode,0)),0,OFFSET(Setup!$D$23,MATCH($G43,TaxCode,0),0,1,1)))</f>
        <v>0</v>
      </c>
      <c r="O43" s="342">
        <f t="shared" si="1"/>
        <v>0</v>
      </c>
      <c r="P43" s="308" t="str">
        <f t="shared" ca="1" si="2"/>
        <v>-</v>
      </c>
    </row>
    <row r="44" spans="5:16" ht="15.95" customHeight="1" x14ac:dyDescent="0.25">
      <c r="K44" s="308">
        <f t="shared" ca="1" si="0"/>
        <v>0</v>
      </c>
      <c r="L44" s="342" cm="1">
        <f t="array" aca="1" ref="L44" ca="1">O44-IF(ExpTaxCount=2,SUM(M44:N44),SUM(M44:M44))</f>
        <v>0</v>
      </c>
      <c r="M44" s="342">
        <f ca="1">$O44/(1+IF(ISERROR($F44),0,IF(ISNA(MATCH($F44,TaxCode,0)),0,OFFSET(Setup!$D$23,MATCH($F44,TaxCode,0),0,1,1)))+IF(ISERROR($G44),0,IF(ISNA(MATCH($G44,TaxCode,0)),0,OFFSET(Setup!$D$23,MATCH($G44,TaxCode,0),0,1,1))))*IF(ISERROR($F44),0,IF(ISNA(MATCH($F44,TaxCode,0)),0,OFFSET(Setup!$D$23,MATCH($F44,TaxCode,0),0,1,1)))</f>
        <v>0</v>
      </c>
      <c r="N44" s="342">
        <f ca="1">$O44/(1+IF(ISERROR($F44),0,IF(ISNA(MATCH($F44,TaxCode,0)),0,OFFSET(Setup!$D$23,MATCH($F44,TaxCode,0),0,1,1)))+IF(ISERROR($G44),0,IF(ISNA(MATCH($G44,TaxCode,0)),0,OFFSET(Setup!$D$23,MATCH($G44,TaxCode,0),0,1,1))))*IF(ISERROR($G44),0,IF(ISNA(MATCH($G44,TaxCode,0)),0,OFFSET(Setup!$D$23,MATCH($G44,TaxCode,0),0,1,1)))</f>
        <v>0</v>
      </c>
      <c r="O44" s="342">
        <f t="shared" si="1"/>
        <v>0</v>
      </c>
      <c r="P44" s="308" t="str">
        <f t="shared" ca="1" si="2"/>
        <v>-</v>
      </c>
    </row>
    <row r="45" spans="5:16" ht="15.95" customHeight="1" x14ac:dyDescent="0.25">
      <c r="K45" s="308">
        <f t="shared" ca="1" si="0"/>
        <v>0</v>
      </c>
      <c r="L45" s="342" cm="1">
        <f t="array" aca="1" ref="L45" ca="1">O45-IF(ExpTaxCount=2,SUM(M45:N45),SUM(M45:M45))</f>
        <v>0</v>
      </c>
      <c r="M45" s="342">
        <f ca="1">$O45/(1+IF(ISERROR($F45),0,IF(ISNA(MATCH($F45,TaxCode,0)),0,OFFSET(Setup!$D$23,MATCH($F45,TaxCode,0),0,1,1)))+IF(ISERROR($G45),0,IF(ISNA(MATCH($G45,TaxCode,0)),0,OFFSET(Setup!$D$23,MATCH($G45,TaxCode,0),0,1,1))))*IF(ISERROR($F45),0,IF(ISNA(MATCH($F45,TaxCode,0)),0,OFFSET(Setup!$D$23,MATCH($F45,TaxCode,0),0,1,1)))</f>
        <v>0</v>
      </c>
      <c r="N45" s="342">
        <f ca="1">$O45/(1+IF(ISERROR($F45),0,IF(ISNA(MATCH($F45,TaxCode,0)),0,OFFSET(Setup!$D$23,MATCH($F45,TaxCode,0),0,1,1)))+IF(ISERROR($G45),0,IF(ISNA(MATCH($G45,TaxCode,0)),0,OFFSET(Setup!$D$23,MATCH($G45,TaxCode,0),0,1,1))))*IF(ISERROR($G45),0,IF(ISNA(MATCH($G45,TaxCode,0)),0,OFFSET(Setup!$D$23,MATCH($G45,TaxCode,0),0,1,1)))</f>
        <v>0</v>
      </c>
      <c r="O45" s="342">
        <f t="shared" si="1"/>
        <v>0</v>
      </c>
      <c r="P45" s="308" t="str">
        <f t="shared" ca="1" si="2"/>
        <v>-</v>
      </c>
    </row>
    <row r="46" spans="5:16" ht="15.95" customHeight="1" x14ac:dyDescent="0.25">
      <c r="K46" s="308">
        <f t="shared" ca="1" si="0"/>
        <v>0</v>
      </c>
      <c r="L46" s="342" cm="1">
        <f t="array" aca="1" ref="L46" ca="1">O46-IF(ExpTaxCount=2,SUM(M46:N46),SUM(M46:M46))</f>
        <v>0</v>
      </c>
      <c r="M46" s="342">
        <f ca="1">$O46/(1+IF(ISERROR($F46),0,IF(ISNA(MATCH($F46,TaxCode,0)),0,OFFSET(Setup!$D$23,MATCH($F46,TaxCode,0),0,1,1)))+IF(ISERROR($G46),0,IF(ISNA(MATCH($G46,TaxCode,0)),0,OFFSET(Setup!$D$23,MATCH($G46,TaxCode,0),0,1,1))))*IF(ISERROR($F46),0,IF(ISNA(MATCH($F46,TaxCode,0)),0,OFFSET(Setup!$D$23,MATCH($F46,TaxCode,0),0,1,1)))</f>
        <v>0</v>
      </c>
      <c r="N46" s="342">
        <f ca="1">$O46/(1+IF(ISERROR($F46),0,IF(ISNA(MATCH($F46,TaxCode,0)),0,OFFSET(Setup!$D$23,MATCH($F46,TaxCode,0),0,1,1)))+IF(ISERROR($G46),0,IF(ISNA(MATCH($G46,TaxCode,0)),0,OFFSET(Setup!$D$23,MATCH($G46,TaxCode,0),0,1,1))))*IF(ISERROR($G46),0,IF(ISNA(MATCH($G46,TaxCode,0)),0,OFFSET(Setup!$D$23,MATCH($G46,TaxCode,0),0,1,1)))</f>
        <v>0</v>
      </c>
      <c r="O46" s="342">
        <f t="shared" si="1"/>
        <v>0</v>
      </c>
      <c r="P46" s="308" t="str">
        <f t="shared" ca="1" si="2"/>
        <v>-</v>
      </c>
    </row>
    <row r="47" spans="5:16" ht="15.95" customHeight="1" x14ac:dyDescent="0.25">
      <c r="K47" s="308">
        <f t="shared" ca="1" si="0"/>
        <v>0</v>
      </c>
      <c r="L47" s="342" cm="1">
        <f t="array" aca="1" ref="L47" ca="1">O47-IF(ExpTaxCount=2,SUM(M47:N47),SUM(M47:M47))</f>
        <v>0</v>
      </c>
      <c r="M47" s="342">
        <f ca="1">$O47/(1+IF(ISERROR($F47),0,IF(ISNA(MATCH($F47,TaxCode,0)),0,OFFSET(Setup!$D$23,MATCH($F47,TaxCode,0),0,1,1)))+IF(ISERROR($G47),0,IF(ISNA(MATCH($G47,TaxCode,0)),0,OFFSET(Setup!$D$23,MATCH($G47,TaxCode,0),0,1,1))))*IF(ISERROR($F47),0,IF(ISNA(MATCH($F47,TaxCode,0)),0,OFFSET(Setup!$D$23,MATCH($F47,TaxCode,0),0,1,1)))</f>
        <v>0</v>
      </c>
      <c r="N47" s="342">
        <f ca="1">$O47/(1+IF(ISERROR($F47),0,IF(ISNA(MATCH($F47,TaxCode,0)),0,OFFSET(Setup!$D$23,MATCH($F47,TaxCode,0),0,1,1)))+IF(ISERROR($G47),0,IF(ISNA(MATCH($G47,TaxCode,0)),0,OFFSET(Setup!$D$23,MATCH($G47,TaxCode,0),0,1,1))))*IF(ISERROR($G47),0,IF(ISNA(MATCH($G47,TaxCode,0)),0,OFFSET(Setup!$D$23,MATCH($G47,TaxCode,0),0,1,1)))</f>
        <v>0</v>
      </c>
      <c r="O47" s="342">
        <f t="shared" si="1"/>
        <v>0</v>
      </c>
      <c r="P47" s="308" t="str">
        <f t="shared" ca="1" si="2"/>
        <v>-</v>
      </c>
    </row>
    <row r="48" spans="5:16" ht="15.95" customHeight="1" x14ac:dyDescent="0.25">
      <c r="K48" s="308">
        <f t="shared" ca="1" si="0"/>
        <v>0</v>
      </c>
      <c r="L48" s="342" cm="1">
        <f t="array" aca="1" ref="L48" ca="1">O48-IF(ExpTaxCount=2,SUM(M48:N48),SUM(M48:M48))</f>
        <v>0</v>
      </c>
      <c r="M48" s="342">
        <f ca="1">$O48/(1+IF(ISERROR($F48),0,IF(ISNA(MATCH($F48,TaxCode,0)),0,OFFSET(Setup!$D$23,MATCH($F48,TaxCode,0),0,1,1)))+IF(ISERROR($G48),0,IF(ISNA(MATCH($G48,TaxCode,0)),0,OFFSET(Setup!$D$23,MATCH($G48,TaxCode,0),0,1,1))))*IF(ISERROR($F48),0,IF(ISNA(MATCH($F48,TaxCode,0)),0,OFFSET(Setup!$D$23,MATCH($F48,TaxCode,0),0,1,1)))</f>
        <v>0</v>
      </c>
      <c r="N48" s="342">
        <f ca="1">$O48/(1+IF(ISERROR($F48),0,IF(ISNA(MATCH($F48,TaxCode,0)),0,OFFSET(Setup!$D$23,MATCH($F48,TaxCode,0),0,1,1)))+IF(ISERROR($G48),0,IF(ISNA(MATCH($G48,TaxCode,0)),0,OFFSET(Setup!$D$23,MATCH($G48,TaxCode,0),0,1,1))))*IF(ISERROR($G48),0,IF(ISNA(MATCH($G48,TaxCode,0)),0,OFFSET(Setup!$D$23,MATCH($G48,TaxCode,0),0,1,1)))</f>
        <v>0</v>
      </c>
      <c r="O48" s="342">
        <f t="shared" si="1"/>
        <v>0</v>
      </c>
      <c r="P48" s="308" t="str">
        <f t="shared" ca="1" si="2"/>
        <v>-</v>
      </c>
    </row>
    <row r="49" spans="11:16" ht="15.95" customHeight="1" x14ac:dyDescent="0.25">
      <c r="K49" s="308">
        <f t="shared" ca="1" si="0"/>
        <v>0</v>
      </c>
      <c r="L49" s="342" cm="1">
        <f t="array" aca="1" ref="L49" ca="1">O49-IF(ExpTaxCount=2,SUM(M49:N49),SUM(M49:M49))</f>
        <v>0</v>
      </c>
      <c r="M49" s="342">
        <f ca="1">$O49/(1+IF(ISERROR($F49),0,IF(ISNA(MATCH($F49,TaxCode,0)),0,OFFSET(Setup!$D$23,MATCH($F49,TaxCode,0),0,1,1)))+IF(ISERROR($G49),0,IF(ISNA(MATCH($G49,TaxCode,0)),0,OFFSET(Setup!$D$23,MATCH($G49,TaxCode,0),0,1,1))))*IF(ISERROR($F49),0,IF(ISNA(MATCH($F49,TaxCode,0)),0,OFFSET(Setup!$D$23,MATCH($F49,TaxCode,0),0,1,1)))</f>
        <v>0</v>
      </c>
      <c r="N49" s="342">
        <f ca="1">$O49/(1+IF(ISERROR($F49),0,IF(ISNA(MATCH($F49,TaxCode,0)),0,OFFSET(Setup!$D$23,MATCH($F49,TaxCode,0),0,1,1)))+IF(ISERROR($G49),0,IF(ISNA(MATCH($G49,TaxCode,0)),0,OFFSET(Setup!$D$23,MATCH($G49,TaxCode,0),0,1,1))))*IF(ISERROR($G49),0,IF(ISNA(MATCH($G49,TaxCode,0)),0,OFFSET(Setup!$D$23,MATCH($G49,TaxCode,0),0,1,1)))</f>
        <v>0</v>
      </c>
      <c r="O49" s="342">
        <f t="shared" si="1"/>
        <v>0</v>
      </c>
      <c r="P49" s="308" t="str">
        <f t="shared" ca="1" si="2"/>
        <v>-</v>
      </c>
    </row>
    <row r="50" spans="11:16" ht="15.95" customHeight="1" x14ac:dyDescent="0.25">
      <c r="K50" s="308">
        <f t="shared" ca="1" si="0"/>
        <v>0</v>
      </c>
      <c r="L50" s="342" cm="1">
        <f t="array" aca="1" ref="L50" ca="1">O50-IF(ExpTaxCount=2,SUM(M50:N50),SUM(M50:M50))</f>
        <v>0</v>
      </c>
      <c r="M50" s="342">
        <f ca="1">$O50/(1+IF(ISERROR($F50),0,IF(ISNA(MATCH($F50,TaxCode,0)),0,OFFSET(Setup!$D$23,MATCH($F50,TaxCode,0),0,1,1)))+IF(ISERROR($G50),0,IF(ISNA(MATCH($G50,TaxCode,0)),0,OFFSET(Setup!$D$23,MATCH($G50,TaxCode,0),0,1,1))))*IF(ISERROR($F50),0,IF(ISNA(MATCH($F50,TaxCode,0)),0,OFFSET(Setup!$D$23,MATCH($F50,TaxCode,0),0,1,1)))</f>
        <v>0</v>
      </c>
      <c r="N50" s="342">
        <f ca="1">$O50/(1+IF(ISERROR($F50),0,IF(ISNA(MATCH($F50,TaxCode,0)),0,OFFSET(Setup!$D$23,MATCH($F50,TaxCode,0),0,1,1)))+IF(ISERROR($G50),0,IF(ISNA(MATCH($G50,TaxCode,0)),0,OFFSET(Setup!$D$23,MATCH($G50,TaxCode,0),0,1,1))))*IF(ISERROR($G50),0,IF(ISNA(MATCH($G50,TaxCode,0)),0,OFFSET(Setup!$D$23,MATCH($G50,TaxCode,0),0,1,1)))</f>
        <v>0</v>
      </c>
      <c r="O50" s="342">
        <f t="shared" si="1"/>
        <v>0</v>
      </c>
      <c r="P50" s="308" t="str">
        <f t="shared" ca="1" si="2"/>
        <v>-</v>
      </c>
    </row>
    <row r="51" spans="11:16" ht="15.95" customHeight="1" x14ac:dyDescent="0.25">
      <c r="K51" s="308">
        <f t="shared" ca="1" si="0"/>
        <v>0</v>
      </c>
      <c r="L51" s="342" cm="1">
        <f t="array" aca="1" ref="L51" ca="1">O51-IF(ExpTaxCount=2,SUM(M51:N51),SUM(M51:M51))</f>
        <v>0</v>
      </c>
      <c r="M51" s="342">
        <f ca="1">$O51/(1+IF(ISERROR($F51),0,IF(ISNA(MATCH($F51,TaxCode,0)),0,OFFSET(Setup!$D$23,MATCH($F51,TaxCode,0),0,1,1)))+IF(ISERROR($G51),0,IF(ISNA(MATCH($G51,TaxCode,0)),0,OFFSET(Setup!$D$23,MATCH($G51,TaxCode,0),0,1,1))))*IF(ISERROR($F51),0,IF(ISNA(MATCH($F51,TaxCode,0)),0,OFFSET(Setup!$D$23,MATCH($F51,TaxCode,0),0,1,1)))</f>
        <v>0</v>
      </c>
      <c r="N51" s="342">
        <f ca="1">$O51/(1+IF(ISERROR($F51),0,IF(ISNA(MATCH($F51,TaxCode,0)),0,OFFSET(Setup!$D$23,MATCH($F51,TaxCode,0),0,1,1)))+IF(ISERROR($G51),0,IF(ISNA(MATCH($G51,TaxCode,0)),0,OFFSET(Setup!$D$23,MATCH($G51,TaxCode,0),0,1,1))))*IF(ISERROR($G51),0,IF(ISNA(MATCH($G51,TaxCode,0)),0,OFFSET(Setup!$D$23,MATCH($G51,TaxCode,0),0,1,1)))</f>
        <v>0</v>
      </c>
      <c r="O51" s="342">
        <f t="shared" si="1"/>
        <v>0</v>
      </c>
      <c r="P51" s="308" t="str">
        <f t="shared" ca="1" si="2"/>
        <v>-</v>
      </c>
    </row>
    <row r="52" spans="11:16" ht="15.95" customHeight="1" x14ac:dyDescent="0.25">
      <c r="K52" s="308">
        <f t="shared" ca="1" si="0"/>
        <v>0</v>
      </c>
      <c r="L52" s="342" cm="1">
        <f t="array" aca="1" ref="L52" ca="1">O52-IF(ExpTaxCount=2,SUM(M52:N52),SUM(M52:M52))</f>
        <v>0</v>
      </c>
      <c r="M52" s="342">
        <f ca="1">$O52/(1+IF(ISERROR($F52),0,IF(ISNA(MATCH($F52,TaxCode,0)),0,OFFSET(Setup!$D$23,MATCH($F52,TaxCode,0),0,1,1)))+IF(ISERROR($G52),0,IF(ISNA(MATCH($G52,TaxCode,0)),0,OFFSET(Setup!$D$23,MATCH($G52,TaxCode,0),0,1,1))))*IF(ISERROR($F52),0,IF(ISNA(MATCH($F52,TaxCode,0)),0,OFFSET(Setup!$D$23,MATCH($F52,TaxCode,0),0,1,1)))</f>
        <v>0</v>
      </c>
      <c r="N52" s="342">
        <f ca="1">$O52/(1+IF(ISERROR($F52),0,IF(ISNA(MATCH($F52,TaxCode,0)),0,OFFSET(Setup!$D$23,MATCH($F52,TaxCode,0),0,1,1)))+IF(ISERROR($G52),0,IF(ISNA(MATCH($G52,TaxCode,0)),0,OFFSET(Setup!$D$23,MATCH($G52,TaxCode,0),0,1,1))))*IF(ISERROR($G52),0,IF(ISNA(MATCH($G52,TaxCode,0)),0,OFFSET(Setup!$D$23,MATCH($G52,TaxCode,0),0,1,1)))</f>
        <v>0</v>
      </c>
      <c r="O52" s="342">
        <f t="shared" si="1"/>
        <v>0</v>
      </c>
      <c r="P52" s="308" t="str">
        <f t="shared" ca="1" si="2"/>
        <v>-</v>
      </c>
    </row>
    <row r="53" spans="11:16" ht="15.95" customHeight="1" x14ac:dyDescent="0.25">
      <c r="K53" s="308">
        <f t="shared" ca="1" si="0"/>
        <v>0</v>
      </c>
      <c r="L53" s="342" cm="1">
        <f t="array" aca="1" ref="L53" ca="1">O53-IF(ExpTaxCount=2,SUM(M53:N53),SUM(M53:M53))</f>
        <v>0</v>
      </c>
      <c r="M53" s="342">
        <f ca="1">$O53/(1+IF(ISERROR($F53),0,IF(ISNA(MATCH($F53,TaxCode,0)),0,OFFSET(Setup!$D$23,MATCH($F53,TaxCode,0),0,1,1)))+IF(ISERROR($G53),0,IF(ISNA(MATCH($G53,TaxCode,0)),0,OFFSET(Setup!$D$23,MATCH($G53,TaxCode,0),0,1,1))))*IF(ISERROR($F53),0,IF(ISNA(MATCH($F53,TaxCode,0)),0,OFFSET(Setup!$D$23,MATCH($F53,TaxCode,0),0,1,1)))</f>
        <v>0</v>
      </c>
      <c r="N53" s="342">
        <f ca="1">$O53/(1+IF(ISERROR($F53),0,IF(ISNA(MATCH($F53,TaxCode,0)),0,OFFSET(Setup!$D$23,MATCH($F53,TaxCode,0),0,1,1)))+IF(ISERROR($G53),0,IF(ISNA(MATCH($G53,TaxCode,0)),0,OFFSET(Setup!$D$23,MATCH($G53,TaxCode,0),0,1,1))))*IF(ISERROR($G53),0,IF(ISNA(MATCH($G53,TaxCode,0)),0,OFFSET(Setup!$D$23,MATCH($G53,TaxCode,0),0,1,1)))</f>
        <v>0</v>
      </c>
      <c r="O53" s="342">
        <f t="shared" si="1"/>
        <v>0</v>
      </c>
      <c r="P53" s="308" t="str">
        <f t="shared" ca="1" si="2"/>
        <v>-</v>
      </c>
    </row>
    <row r="54" spans="11:16" ht="15.95" customHeight="1" x14ac:dyDescent="0.25">
      <c r="K54" s="308">
        <f t="shared" ca="1" si="0"/>
        <v>0</v>
      </c>
      <c r="L54" s="342" cm="1">
        <f t="array" aca="1" ref="L54" ca="1">O54-IF(ExpTaxCount=2,SUM(M54:N54),SUM(M54:M54))</f>
        <v>0</v>
      </c>
      <c r="M54" s="342">
        <f ca="1">$O54/(1+IF(ISERROR($F54),0,IF(ISNA(MATCH($F54,TaxCode,0)),0,OFFSET(Setup!$D$23,MATCH($F54,TaxCode,0),0,1,1)))+IF(ISERROR($G54),0,IF(ISNA(MATCH($G54,TaxCode,0)),0,OFFSET(Setup!$D$23,MATCH($G54,TaxCode,0),0,1,1))))*IF(ISERROR($F54),0,IF(ISNA(MATCH($F54,TaxCode,0)),0,OFFSET(Setup!$D$23,MATCH($F54,TaxCode,0),0,1,1)))</f>
        <v>0</v>
      </c>
      <c r="N54" s="342">
        <f ca="1">$O54/(1+IF(ISERROR($F54),0,IF(ISNA(MATCH($F54,TaxCode,0)),0,OFFSET(Setup!$D$23,MATCH($F54,TaxCode,0),0,1,1)))+IF(ISERROR($G54),0,IF(ISNA(MATCH($G54,TaxCode,0)),0,OFFSET(Setup!$D$23,MATCH($G54,TaxCode,0),0,1,1))))*IF(ISERROR($G54),0,IF(ISNA(MATCH($G54,TaxCode,0)),0,OFFSET(Setup!$D$23,MATCH($G54,TaxCode,0),0,1,1)))</f>
        <v>0</v>
      </c>
      <c r="O54" s="342">
        <f t="shared" si="1"/>
        <v>0</v>
      </c>
      <c r="P54" s="308" t="str">
        <f t="shared" ca="1" si="2"/>
        <v>-</v>
      </c>
    </row>
    <row r="55" spans="11:16" ht="15.95" customHeight="1" x14ac:dyDescent="0.25">
      <c r="K55" s="308">
        <f t="shared" ca="1" si="0"/>
        <v>0</v>
      </c>
      <c r="L55" s="342" cm="1">
        <f t="array" aca="1" ref="L55" ca="1">O55-IF(ExpTaxCount=2,SUM(M55:N55),SUM(M55:M55))</f>
        <v>0</v>
      </c>
      <c r="M55" s="342">
        <f ca="1">$O55/(1+IF(ISERROR($F55),0,IF(ISNA(MATCH($F55,TaxCode,0)),0,OFFSET(Setup!$D$23,MATCH($F55,TaxCode,0),0,1,1)))+IF(ISERROR($G55),0,IF(ISNA(MATCH($G55,TaxCode,0)),0,OFFSET(Setup!$D$23,MATCH($G55,TaxCode,0),0,1,1))))*IF(ISERROR($F55),0,IF(ISNA(MATCH($F55,TaxCode,0)),0,OFFSET(Setup!$D$23,MATCH($F55,TaxCode,0),0,1,1)))</f>
        <v>0</v>
      </c>
      <c r="N55" s="342">
        <f ca="1">$O55/(1+IF(ISERROR($F55),0,IF(ISNA(MATCH($F55,TaxCode,0)),0,OFFSET(Setup!$D$23,MATCH($F55,TaxCode,0),0,1,1)))+IF(ISERROR($G55),0,IF(ISNA(MATCH($G55,TaxCode,0)),0,OFFSET(Setup!$D$23,MATCH($G55,TaxCode,0),0,1,1))))*IF(ISERROR($G55),0,IF(ISNA(MATCH($G55,TaxCode,0)),0,OFFSET(Setup!$D$23,MATCH($G55,TaxCode,0),0,1,1)))</f>
        <v>0</v>
      </c>
      <c r="O55" s="342">
        <f t="shared" si="1"/>
        <v>0</v>
      </c>
      <c r="P55" s="308" t="str">
        <f t="shared" ca="1" si="2"/>
        <v>-</v>
      </c>
    </row>
    <row r="56" spans="11:16" ht="15.95" customHeight="1" x14ac:dyDescent="0.25">
      <c r="K56" s="308">
        <f t="shared" ca="1" si="0"/>
        <v>0</v>
      </c>
      <c r="L56" s="342" cm="1">
        <f t="array" aca="1" ref="L56" ca="1">O56-IF(ExpTaxCount=2,SUM(M56:N56),SUM(M56:M56))</f>
        <v>0</v>
      </c>
      <c r="M56" s="342">
        <f ca="1">$O56/(1+IF(ISERROR($F56),0,IF(ISNA(MATCH($F56,TaxCode,0)),0,OFFSET(Setup!$D$23,MATCH($F56,TaxCode,0),0,1,1)))+IF(ISERROR($G56),0,IF(ISNA(MATCH($G56,TaxCode,0)),0,OFFSET(Setup!$D$23,MATCH($G56,TaxCode,0),0,1,1))))*IF(ISERROR($F56),0,IF(ISNA(MATCH($F56,TaxCode,0)),0,OFFSET(Setup!$D$23,MATCH($F56,TaxCode,0),0,1,1)))</f>
        <v>0</v>
      </c>
      <c r="N56" s="342">
        <f ca="1">$O56/(1+IF(ISERROR($F56),0,IF(ISNA(MATCH($F56,TaxCode,0)),0,OFFSET(Setup!$D$23,MATCH($F56,TaxCode,0),0,1,1)))+IF(ISERROR($G56),0,IF(ISNA(MATCH($G56,TaxCode,0)),0,OFFSET(Setup!$D$23,MATCH($G56,TaxCode,0),0,1,1))))*IF(ISERROR($G56),0,IF(ISNA(MATCH($G56,TaxCode,0)),0,OFFSET(Setup!$D$23,MATCH($G56,TaxCode,0),0,1,1)))</f>
        <v>0</v>
      </c>
      <c r="O56" s="342">
        <f t="shared" si="1"/>
        <v>0</v>
      </c>
      <c r="P56" s="308" t="str">
        <f t="shared" ca="1" si="2"/>
        <v>-</v>
      </c>
    </row>
    <row r="57" spans="11:16" ht="15.95" customHeight="1" x14ac:dyDescent="0.25">
      <c r="K57" s="308">
        <f t="shared" ca="1" si="0"/>
        <v>0</v>
      </c>
      <c r="L57" s="342" cm="1">
        <f t="array" aca="1" ref="L57" ca="1">O57-IF(ExpTaxCount=2,SUM(M57:N57),SUM(M57:M57))</f>
        <v>0</v>
      </c>
      <c r="M57" s="342">
        <f ca="1">$O57/(1+IF(ISERROR($F57),0,IF(ISNA(MATCH($F57,TaxCode,0)),0,OFFSET(Setup!$D$23,MATCH($F57,TaxCode,0),0,1,1)))+IF(ISERROR($G57),0,IF(ISNA(MATCH($G57,TaxCode,0)),0,OFFSET(Setup!$D$23,MATCH($G57,TaxCode,0),0,1,1))))*IF(ISERROR($F57),0,IF(ISNA(MATCH($F57,TaxCode,0)),0,OFFSET(Setup!$D$23,MATCH($F57,TaxCode,0),0,1,1)))</f>
        <v>0</v>
      </c>
      <c r="N57" s="342">
        <f ca="1">$O57/(1+IF(ISERROR($F57),0,IF(ISNA(MATCH($F57,TaxCode,0)),0,OFFSET(Setup!$D$23,MATCH($F57,TaxCode,0),0,1,1)))+IF(ISERROR($G57),0,IF(ISNA(MATCH($G57,TaxCode,0)),0,OFFSET(Setup!$D$23,MATCH($G57,TaxCode,0),0,1,1))))*IF(ISERROR($G57),0,IF(ISNA(MATCH($G57,TaxCode,0)),0,OFFSET(Setup!$D$23,MATCH($G57,TaxCode,0),0,1,1)))</f>
        <v>0</v>
      </c>
      <c r="O57" s="342">
        <f t="shared" si="1"/>
        <v>0</v>
      </c>
      <c r="P57" s="308" t="str">
        <f t="shared" ca="1" si="2"/>
        <v>-</v>
      </c>
    </row>
    <row r="58" spans="11:16" ht="15.95" customHeight="1" x14ac:dyDescent="0.25">
      <c r="K58" s="308">
        <f t="shared" ca="1" si="0"/>
        <v>0</v>
      </c>
      <c r="L58" s="342" cm="1">
        <f t="array" aca="1" ref="L58" ca="1">O58-IF(ExpTaxCount=2,SUM(M58:N58),SUM(M58:M58))</f>
        <v>0</v>
      </c>
      <c r="M58" s="342">
        <f ca="1">$O58/(1+IF(ISERROR($F58),0,IF(ISNA(MATCH($F58,TaxCode,0)),0,OFFSET(Setup!$D$23,MATCH($F58,TaxCode,0),0,1,1)))+IF(ISERROR($G58),0,IF(ISNA(MATCH($G58,TaxCode,0)),0,OFFSET(Setup!$D$23,MATCH($G58,TaxCode,0),0,1,1))))*IF(ISERROR($F58),0,IF(ISNA(MATCH($F58,TaxCode,0)),0,OFFSET(Setup!$D$23,MATCH($F58,TaxCode,0),0,1,1)))</f>
        <v>0</v>
      </c>
      <c r="N58" s="342">
        <f ca="1">$O58/(1+IF(ISERROR($F58),0,IF(ISNA(MATCH($F58,TaxCode,0)),0,OFFSET(Setup!$D$23,MATCH($F58,TaxCode,0),0,1,1)))+IF(ISERROR($G58),0,IF(ISNA(MATCH($G58,TaxCode,0)),0,OFFSET(Setup!$D$23,MATCH($G58,TaxCode,0),0,1,1))))*IF(ISERROR($G58),0,IF(ISNA(MATCH($G58,TaxCode,0)),0,OFFSET(Setup!$D$23,MATCH($G58,TaxCode,0),0,1,1)))</f>
        <v>0</v>
      </c>
      <c r="O58" s="342">
        <f t="shared" si="1"/>
        <v>0</v>
      </c>
      <c r="P58" s="308" t="str">
        <f t="shared" ca="1" si="2"/>
        <v>-</v>
      </c>
    </row>
    <row r="59" spans="11:16" ht="15.95" customHeight="1" x14ac:dyDescent="0.25">
      <c r="K59" s="308">
        <f t="shared" ca="1" si="0"/>
        <v>0</v>
      </c>
      <c r="L59" s="342" cm="1">
        <f t="array" aca="1" ref="L59" ca="1">O59-IF(ExpTaxCount=2,SUM(M59:N59),SUM(M59:M59))</f>
        <v>0</v>
      </c>
      <c r="M59" s="342">
        <f ca="1">$O59/(1+IF(ISERROR($F59),0,IF(ISNA(MATCH($F59,TaxCode,0)),0,OFFSET(Setup!$D$23,MATCH($F59,TaxCode,0),0,1,1)))+IF(ISERROR($G59),0,IF(ISNA(MATCH($G59,TaxCode,0)),0,OFFSET(Setup!$D$23,MATCH($G59,TaxCode,0),0,1,1))))*IF(ISERROR($F59),0,IF(ISNA(MATCH($F59,TaxCode,0)),0,OFFSET(Setup!$D$23,MATCH($F59,TaxCode,0),0,1,1)))</f>
        <v>0</v>
      </c>
      <c r="N59" s="342">
        <f ca="1">$O59/(1+IF(ISERROR($F59),0,IF(ISNA(MATCH($F59,TaxCode,0)),0,OFFSET(Setup!$D$23,MATCH($F59,TaxCode,0),0,1,1)))+IF(ISERROR($G59),0,IF(ISNA(MATCH($G59,TaxCode,0)),0,OFFSET(Setup!$D$23,MATCH($G59,TaxCode,0),0,1,1))))*IF(ISERROR($G59),0,IF(ISNA(MATCH($G59,TaxCode,0)),0,OFFSET(Setup!$D$23,MATCH($G59,TaxCode,0),0,1,1)))</f>
        <v>0</v>
      </c>
      <c r="O59" s="342">
        <f t="shared" si="1"/>
        <v>0</v>
      </c>
      <c r="P59" s="308" t="str">
        <f t="shared" ca="1" si="2"/>
        <v>-</v>
      </c>
    </row>
    <row r="60" spans="11:16" ht="15.95" customHeight="1" x14ac:dyDescent="0.25">
      <c r="K60" s="308">
        <f t="shared" ca="1" si="0"/>
        <v>0</v>
      </c>
      <c r="L60" s="342" cm="1">
        <f t="array" aca="1" ref="L60" ca="1">O60-IF(ExpTaxCount=2,SUM(M60:N60),SUM(M60:M60))</f>
        <v>0</v>
      </c>
      <c r="M60" s="342">
        <f ca="1">$O60/(1+IF(ISERROR($F60),0,IF(ISNA(MATCH($F60,TaxCode,0)),0,OFFSET(Setup!$D$23,MATCH($F60,TaxCode,0),0,1,1)))+IF(ISERROR($G60),0,IF(ISNA(MATCH($G60,TaxCode,0)),0,OFFSET(Setup!$D$23,MATCH($G60,TaxCode,0),0,1,1))))*IF(ISERROR($F60),0,IF(ISNA(MATCH($F60,TaxCode,0)),0,OFFSET(Setup!$D$23,MATCH($F60,TaxCode,0),0,1,1)))</f>
        <v>0</v>
      </c>
      <c r="N60" s="342">
        <f ca="1">$O60/(1+IF(ISERROR($F60),0,IF(ISNA(MATCH($F60,TaxCode,0)),0,OFFSET(Setup!$D$23,MATCH($F60,TaxCode,0),0,1,1)))+IF(ISERROR($G60),0,IF(ISNA(MATCH($G60,TaxCode,0)),0,OFFSET(Setup!$D$23,MATCH($G60,TaxCode,0),0,1,1))))*IF(ISERROR($G60),0,IF(ISNA(MATCH($G60,TaxCode,0)),0,OFFSET(Setup!$D$23,MATCH($G60,TaxCode,0),0,1,1)))</f>
        <v>0</v>
      </c>
      <c r="O60" s="342">
        <f t="shared" si="1"/>
        <v>0</v>
      </c>
      <c r="P60" s="308" t="str">
        <f t="shared" ca="1" si="2"/>
        <v>-</v>
      </c>
    </row>
    <row r="61" spans="11:16" ht="15.95" customHeight="1" x14ac:dyDescent="0.25">
      <c r="K61" s="308">
        <f t="shared" ca="1" si="0"/>
        <v>0</v>
      </c>
      <c r="L61" s="342" cm="1">
        <f t="array" aca="1" ref="L61" ca="1">O61-IF(ExpTaxCount=2,SUM(M61:N61),SUM(M61:M61))</f>
        <v>0</v>
      </c>
      <c r="M61" s="342">
        <f ca="1">$O61/(1+IF(ISERROR($F61),0,IF(ISNA(MATCH($F61,TaxCode,0)),0,OFFSET(Setup!$D$23,MATCH($F61,TaxCode,0),0,1,1)))+IF(ISERROR($G61),0,IF(ISNA(MATCH($G61,TaxCode,0)),0,OFFSET(Setup!$D$23,MATCH($G61,TaxCode,0),0,1,1))))*IF(ISERROR($F61),0,IF(ISNA(MATCH($F61,TaxCode,0)),0,OFFSET(Setup!$D$23,MATCH($F61,TaxCode,0),0,1,1)))</f>
        <v>0</v>
      </c>
      <c r="N61" s="342">
        <f ca="1">$O61/(1+IF(ISERROR($F61),0,IF(ISNA(MATCH($F61,TaxCode,0)),0,OFFSET(Setup!$D$23,MATCH($F61,TaxCode,0),0,1,1)))+IF(ISERROR($G61),0,IF(ISNA(MATCH($G61,TaxCode,0)),0,OFFSET(Setup!$D$23,MATCH($G61,TaxCode,0),0,1,1))))*IF(ISERROR($G61),0,IF(ISNA(MATCH($G61,TaxCode,0)),0,OFFSET(Setup!$D$23,MATCH($G61,TaxCode,0),0,1,1)))</f>
        <v>0</v>
      </c>
      <c r="O61" s="342">
        <f t="shared" si="1"/>
        <v>0</v>
      </c>
      <c r="P61" s="308" t="str">
        <f t="shared" ca="1" si="2"/>
        <v>-</v>
      </c>
    </row>
    <row r="62" spans="11:16" ht="15.95" customHeight="1" x14ac:dyDescent="0.25">
      <c r="K62" s="308">
        <f t="shared" ca="1" si="0"/>
        <v>0</v>
      </c>
      <c r="L62" s="342" cm="1">
        <f t="array" aca="1" ref="L62" ca="1">O62-IF(ExpTaxCount=2,SUM(M62:N62),SUM(M62:M62))</f>
        <v>0</v>
      </c>
      <c r="M62" s="342">
        <f ca="1">$O62/(1+IF(ISERROR($F62),0,IF(ISNA(MATCH($F62,TaxCode,0)),0,OFFSET(Setup!$D$23,MATCH($F62,TaxCode,0),0,1,1)))+IF(ISERROR($G62),0,IF(ISNA(MATCH($G62,TaxCode,0)),0,OFFSET(Setup!$D$23,MATCH($G62,TaxCode,0),0,1,1))))*IF(ISERROR($F62),0,IF(ISNA(MATCH($F62,TaxCode,0)),0,OFFSET(Setup!$D$23,MATCH($F62,TaxCode,0),0,1,1)))</f>
        <v>0</v>
      </c>
      <c r="N62" s="342">
        <f ca="1">$O62/(1+IF(ISERROR($F62),0,IF(ISNA(MATCH($F62,TaxCode,0)),0,OFFSET(Setup!$D$23,MATCH($F62,TaxCode,0),0,1,1)))+IF(ISERROR($G62),0,IF(ISNA(MATCH($G62,TaxCode,0)),0,OFFSET(Setup!$D$23,MATCH($G62,TaxCode,0),0,1,1))))*IF(ISERROR($G62),0,IF(ISNA(MATCH($G62,TaxCode,0)),0,OFFSET(Setup!$D$23,MATCH($G62,TaxCode,0),0,1,1)))</f>
        <v>0</v>
      </c>
      <c r="O62" s="342">
        <f t="shared" si="1"/>
        <v>0</v>
      </c>
      <c r="P62" s="308" t="str">
        <f t="shared" ca="1" si="2"/>
        <v>-</v>
      </c>
    </row>
    <row r="63" spans="11:16" ht="15.95" customHeight="1" x14ac:dyDescent="0.25">
      <c r="K63" s="308">
        <f t="shared" ca="1" si="0"/>
        <v>0</v>
      </c>
      <c r="L63" s="342" cm="1">
        <f t="array" aca="1" ref="L63" ca="1">O63-IF(ExpTaxCount=2,SUM(M63:N63),SUM(M63:M63))</f>
        <v>0</v>
      </c>
      <c r="M63" s="342">
        <f ca="1">$O63/(1+IF(ISERROR($F63),0,IF(ISNA(MATCH($F63,TaxCode,0)),0,OFFSET(Setup!$D$23,MATCH($F63,TaxCode,0),0,1,1)))+IF(ISERROR($G63),0,IF(ISNA(MATCH($G63,TaxCode,0)),0,OFFSET(Setup!$D$23,MATCH($G63,TaxCode,0),0,1,1))))*IF(ISERROR($F63),0,IF(ISNA(MATCH($F63,TaxCode,0)),0,OFFSET(Setup!$D$23,MATCH($F63,TaxCode,0),0,1,1)))</f>
        <v>0</v>
      </c>
      <c r="N63" s="342">
        <f ca="1">$O63/(1+IF(ISERROR($F63),0,IF(ISNA(MATCH($F63,TaxCode,0)),0,OFFSET(Setup!$D$23,MATCH($F63,TaxCode,0),0,1,1)))+IF(ISERROR($G63),0,IF(ISNA(MATCH($G63,TaxCode,0)),0,OFFSET(Setup!$D$23,MATCH($G63,TaxCode,0),0,1,1))))*IF(ISERROR($G63),0,IF(ISNA(MATCH($G63,TaxCode,0)),0,OFFSET(Setup!$D$23,MATCH($G63,TaxCode,0),0,1,1)))</f>
        <v>0</v>
      </c>
      <c r="O63" s="342">
        <f t="shared" si="1"/>
        <v>0</v>
      </c>
      <c r="P63" s="308" t="str">
        <f t="shared" ca="1" si="2"/>
        <v>-</v>
      </c>
    </row>
    <row r="64" spans="11:16" ht="15.95" customHeight="1" x14ac:dyDescent="0.25">
      <c r="K64" s="308">
        <f t="shared" ca="1" si="0"/>
        <v>0</v>
      </c>
      <c r="L64" s="342" cm="1">
        <f t="array" aca="1" ref="L64" ca="1">O64-IF(ExpTaxCount=2,SUM(M64:N64),SUM(M64:M64))</f>
        <v>0</v>
      </c>
      <c r="M64" s="342">
        <f ca="1">$O64/(1+IF(ISERROR($F64),0,IF(ISNA(MATCH($F64,TaxCode,0)),0,OFFSET(Setup!$D$23,MATCH($F64,TaxCode,0),0,1,1)))+IF(ISERROR($G64),0,IF(ISNA(MATCH($G64,TaxCode,0)),0,OFFSET(Setup!$D$23,MATCH($G64,TaxCode,0),0,1,1))))*IF(ISERROR($F64),0,IF(ISNA(MATCH($F64,TaxCode,0)),0,OFFSET(Setup!$D$23,MATCH($F64,TaxCode,0),0,1,1)))</f>
        <v>0</v>
      </c>
      <c r="N64" s="342">
        <f ca="1">$O64/(1+IF(ISERROR($F64),0,IF(ISNA(MATCH($F64,TaxCode,0)),0,OFFSET(Setup!$D$23,MATCH($F64,TaxCode,0),0,1,1)))+IF(ISERROR($G64),0,IF(ISNA(MATCH($G64,TaxCode,0)),0,OFFSET(Setup!$D$23,MATCH($G64,TaxCode,0),0,1,1))))*IF(ISERROR($G64),0,IF(ISNA(MATCH($G64,TaxCode,0)),0,OFFSET(Setup!$D$23,MATCH($G64,TaxCode,0),0,1,1)))</f>
        <v>0</v>
      </c>
      <c r="O64" s="342">
        <f t="shared" si="1"/>
        <v>0</v>
      </c>
      <c r="P64" s="308" t="str">
        <f t="shared" ca="1" si="2"/>
        <v>-</v>
      </c>
    </row>
    <row r="65" spans="11:16" ht="15.95" customHeight="1" x14ac:dyDescent="0.25">
      <c r="K65" s="308">
        <f t="shared" ca="1" si="0"/>
        <v>0</v>
      </c>
      <c r="L65" s="342" cm="1">
        <f t="array" aca="1" ref="L65" ca="1">O65-IF(ExpTaxCount=2,SUM(M65:N65),SUM(M65:M65))</f>
        <v>0</v>
      </c>
      <c r="M65" s="342">
        <f ca="1">$O65/(1+IF(ISERROR($F65),0,IF(ISNA(MATCH($F65,TaxCode,0)),0,OFFSET(Setup!$D$23,MATCH($F65,TaxCode,0),0,1,1)))+IF(ISERROR($G65),0,IF(ISNA(MATCH($G65,TaxCode,0)),0,OFFSET(Setup!$D$23,MATCH($G65,TaxCode,0),0,1,1))))*IF(ISERROR($F65),0,IF(ISNA(MATCH($F65,TaxCode,0)),0,OFFSET(Setup!$D$23,MATCH($F65,TaxCode,0),0,1,1)))</f>
        <v>0</v>
      </c>
      <c r="N65" s="342">
        <f ca="1">$O65/(1+IF(ISERROR($F65),0,IF(ISNA(MATCH($F65,TaxCode,0)),0,OFFSET(Setup!$D$23,MATCH($F65,TaxCode,0),0,1,1)))+IF(ISERROR($G65),0,IF(ISNA(MATCH($G65,TaxCode,0)),0,OFFSET(Setup!$D$23,MATCH($G65,TaxCode,0),0,1,1))))*IF(ISERROR($G65),0,IF(ISNA(MATCH($G65,TaxCode,0)),0,OFFSET(Setup!$D$23,MATCH($G65,TaxCode,0),0,1,1)))</f>
        <v>0</v>
      </c>
      <c r="O65" s="342">
        <f t="shared" si="1"/>
        <v>0</v>
      </c>
      <c r="P65" s="308" t="str">
        <f t="shared" ca="1" si="2"/>
        <v>-</v>
      </c>
    </row>
    <row r="66" spans="11:16" ht="15.95" customHeight="1" x14ac:dyDescent="0.25">
      <c r="K66" s="308">
        <f t="shared" ca="1" si="0"/>
        <v>0</v>
      </c>
      <c r="L66" s="342" cm="1">
        <f t="array" aca="1" ref="L66" ca="1">O66-IF(ExpTaxCount=2,SUM(M66:N66),SUM(M66:M66))</f>
        <v>0</v>
      </c>
      <c r="M66" s="342">
        <f ca="1">$O66/(1+IF(ISERROR($F66),0,IF(ISNA(MATCH($F66,TaxCode,0)),0,OFFSET(Setup!$D$23,MATCH($F66,TaxCode,0),0,1,1)))+IF(ISERROR($G66),0,IF(ISNA(MATCH($G66,TaxCode,0)),0,OFFSET(Setup!$D$23,MATCH($G66,TaxCode,0),0,1,1))))*IF(ISERROR($F66),0,IF(ISNA(MATCH($F66,TaxCode,0)),0,OFFSET(Setup!$D$23,MATCH($F66,TaxCode,0),0,1,1)))</f>
        <v>0</v>
      </c>
      <c r="N66" s="342">
        <f ca="1">$O66/(1+IF(ISERROR($F66),0,IF(ISNA(MATCH($F66,TaxCode,0)),0,OFFSET(Setup!$D$23,MATCH($F66,TaxCode,0),0,1,1)))+IF(ISERROR($G66),0,IF(ISNA(MATCH($G66,TaxCode,0)),0,OFFSET(Setup!$D$23,MATCH($G66,TaxCode,0),0,1,1))))*IF(ISERROR($G66),0,IF(ISNA(MATCH($G66,TaxCode,0)),0,OFFSET(Setup!$D$23,MATCH($G66,TaxCode,0),0,1,1)))</f>
        <v>0</v>
      </c>
      <c r="O66" s="342">
        <f t="shared" si="1"/>
        <v>0</v>
      </c>
      <c r="P66" s="308" t="str">
        <f t="shared" ca="1" si="2"/>
        <v>-</v>
      </c>
    </row>
    <row r="67" spans="11:16" ht="15.95" customHeight="1" x14ac:dyDescent="0.25">
      <c r="K67" s="308">
        <f t="shared" ca="1" si="0"/>
        <v>0</v>
      </c>
      <c r="L67" s="342" cm="1">
        <f t="array" aca="1" ref="L67" ca="1">O67-IF(ExpTaxCount=2,SUM(M67:N67),SUM(M67:M67))</f>
        <v>0</v>
      </c>
      <c r="M67" s="342">
        <f ca="1">$O67/(1+IF(ISERROR($F67),0,IF(ISNA(MATCH($F67,TaxCode,0)),0,OFFSET(Setup!$D$23,MATCH($F67,TaxCode,0),0,1,1)))+IF(ISERROR($G67),0,IF(ISNA(MATCH($G67,TaxCode,0)),0,OFFSET(Setup!$D$23,MATCH($G67,TaxCode,0),0,1,1))))*IF(ISERROR($F67),0,IF(ISNA(MATCH($F67,TaxCode,0)),0,OFFSET(Setup!$D$23,MATCH($F67,TaxCode,0),0,1,1)))</f>
        <v>0</v>
      </c>
      <c r="N67" s="342">
        <f ca="1">$O67/(1+IF(ISERROR($F67),0,IF(ISNA(MATCH($F67,TaxCode,0)),0,OFFSET(Setup!$D$23,MATCH($F67,TaxCode,0),0,1,1)))+IF(ISERROR($G67),0,IF(ISNA(MATCH($G67,TaxCode,0)),0,OFFSET(Setup!$D$23,MATCH($G67,TaxCode,0),0,1,1))))*IF(ISERROR($G67),0,IF(ISNA(MATCH($G67,TaxCode,0)),0,OFFSET(Setup!$D$23,MATCH($G67,TaxCode,0),0,1,1)))</f>
        <v>0</v>
      </c>
      <c r="O67" s="342">
        <f t="shared" si="1"/>
        <v>0</v>
      </c>
      <c r="P67" s="308" t="str">
        <f t="shared" ca="1" si="2"/>
        <v>-</v>
      </c>
    </row>
    <row r="68" spans="11:16" ht="15.95" customHeight="1" x14ac:dyDescent="0.25">
      <c r="K68" s="308">
        <f t="shared" ca="1" si="0"/>
        <v>0</v>
      </c>
      <c r="L68" s="342" cm="1">
        <f t="array" aca="1" ref="L68" ca="1">O68-IF(ExpTaxCount=2,SUM(M68:N68),SUM(M68:M68))</f>
        <v>0</v>
      </c>
      <c r="M68" s="342">
        <f ca="1">$O68/(1+IF(ISERROR($F68),0,IF(ISNA(MATCH($F68,TaxCode,0)),0,OFFSET(Setup!$D$23,MATCH($F68,TaxCode,0),0,1,1)))+IF(ISERROR($G68),0,IF(ISNA(MATCH($G68,TaxCode,0)),0,OFFSET(Setup!$D$23,MATCH($G68,TaxCode,0),0,1,1))))*IF(ISERROR($F68),0,IF(ISNA(MATCH($F68,TaxCode,0)),0,OFFSET(Setup!$D$23,MATCH($F68,TaxCode,0),0,1,1)))</f>
        <v>0</v>
      </c>
      <c r="N68" s="342">
        <f ca="1">$O68/(1+IF(ISERROR($F68),0,IF(ISNA(MATCH($F68,TaxCode,0)),0,OFFSET(Setup!$D$23,MATCH($F68,TaxCode,0),0,1,1)))+IF(ISERROR($G68),0,IF(ISNA(MATCH($G68,TaxCode,0)),0,OFFSET(Setup!$D$23,MATCH($G68,TaxCode,0),0,1,1))))*IF(ISERROR($G68),0,IF(ISNA(MATCH($G68,TaxCode,0)),0,OFFSET(Setup!$D$23,MATCH($G68,TaxCode,0),0,1,1)))</f>
        <v>0</v>
      </c>
      <c r="O68" s="342">
        <f t="shared" si="1"/>
        <v>0</v>
      </c>
      <c r="P68" s="308" t="str">
        <f t="shared" ca="1" si="2"/>
        <v>-</v>
      </c>
    </row>
    <row r="69" spans="11:16" ht="15.95" customHeight="1" x14ac:dyDescent="0.25">
      <c r="K69" s="308">
        <f t="shared" ca="1" si="0"/>
        <v>0</v>
      </c>
      <c r="L69" s="342" cm="1">
        <f t="array" aca="1" ref="L69" ca="1">O69-IF(ExpTaxCount=2,SUM(M69:N69),SUM(M69:M69))</f>
        <v>0</v>
      </c>
      <c r="M69" s="342">
        <f ca="1">$O69/(1+IF(ISERROR($F69),0,IF(ISNA(MATCH($F69,TaxCode,0)),0,OFFSET(Setup!$D$23,MATCH($F69,TaxCode,0),0,1,1)))+IF(ISERROR($G69),0,IF(ISNA(MATCH($G69,TaxCode,0)),0,OFFSET(Setup!$D$23,MATCH($G69,TaxCode,0),0,1,1))))*IF(ISERROR($F69),0,IF(ISNA(MATCH($F69,TaxCode,0)),0,OFFSET(Setup!$D$23,MATCH($F69,TaxCode,0),0,1,1)))</f>
        <v>0</v>
      </c>
      <c r="N69" s="342">
        <f ca="1">$O69/(1+IF(ISERROR($F69),0,IF(ISNA(MATCH($F69,TaxCode,0)),0,OFFSET(Setup!$D$23,MATCH($F69,TaxCode,0),0,1,1)))+IF(ISERROR($G69),0,IF(ISNA(MATCH($G69,TaxCode,0)),0,OFFSET(Setup!$D$23,MATCH($G69,TaxCode,0),0,1,1))))*IF(ISERROR($G69),0,IF(ISNA(MATCH($G69,TaxCode,0)),0,OFFSET(Setup!$D$23,MATCH($G69,TaxCode,0),0,1,1)))</f>
        <v>0</v>
      </c>
      <c r="O69" s="342">
        <f t="shared" si="1"/>
        <v>0</v>
      </c>
      <c r="P69" s="308" t="str">
        <f t="shared" ca="1" si="2"/>
        <v>-</v>
      </c>
    </row>
    <row r="70" spans="11:16" ht="15.95" customHeight="1" x14ac:dyDescent="0.25">
      <c r="K70" s="308">
        <f t="shared" ca="1" si="0"/>
        <v>0</v>
      </c>
      <c r="L70" s="342" cm="1">
        <f t="array" aca="1" ref="L70" ca="1">O70-IF(ExpTaxCount=2,SUM(M70:N70),SUM(M70:M70))</f>
        <v>0</v>
      </c>
      <c r="M70" s="342">
        <f ca="1">$O70/(1+IF(ISERROR($F70),0,IF(ISNA(MATCH($F70,TaxCode,0)),0,OFFSET(Setup!$D$23,MATCH($F70,TaxCode,0),0,1,1)))+IF(ISERROR($G70),0,IF(ISNA(MATCH($G70,TaxCode,0)),0,OFFSET(Setup!$D$23,MATCH($G70,TaxCode,0),0,1,1))))*IF(ISERROR($F70),0,IF(ISNA(MATCH($F70,TaxCode,0)),0,OFFSET(Setup!$D$23,MATCH($F70,TaxCode,0),0,1,1)))</f>
        <v>0</v>
      </c>
      <c r="N70" s="342">
        <f ca="1">$O70/(1+IF(ISERROR($F70),0,IF(ISNA(MATCH($F70,TaxCode,0)),0,OFFSET(Setup!$D$23,MATCH($F70,TaxCode,0),0,1,1)))+IF(ISERROR($G70),0,IF(ISNA(MATCH($G70,TaxCode,0)),0,OFFSET(Setup!$D$23,MATCH($G70,TaxCode,0),0,1,1))))*IF(ISERROR($G70),0,IF(ISNA(MATCH($G70,TaxCode,0)),0,OFFSET(Setup!$D$23,MATCH($G70,TaxCode,0),0,1,1)))</f>
        <v>0</v>
      </c>
      <c r="O70" s="342">
        <f t="shared" si="1"/>
        <v>0</v>
      </c>
      <c r="P70" s="308" t="str">
        <f t="shared" ca="1" si="2"/>
        <v>-</v>
      </c>
    </row>
    <row r="71" spans="11:16" ht="15.95" customHeight="1" x14ac:dyDescent="0.25">
      <c r="K71" s="308">
        <f t="shared" ca="1" si="0"/>
        <v>0</v>
      </c>
      <c r="L71" s="342" cm="1">
        <f t="array" aca="1" ref="L71" ca="1">O71-IF(ExpTaxCount=2,SUM(M71:N71),SUM(M71:M71))</f>
        <v>0</v>
      </c>
      <c r="M71" s="342">
        <f ca="1">$O71/(1+IF(ISERROR($F71),0,IF(ISNA(MATCH($F71,TaxCode,0)),0,OFFSET(Setup!$D$23,MATCH($F71,TaxCode,0),0,1,1)))+IF(ISERROR($G71),0,IF(ISNA(MATCH($G71,TaxCode,0)),0,OFFSET(Setup!$D$23,MATCH($G71,TaxCode,0),0,1,1))))*IF(ISERROR($F71),0,IF(ISNA(MATCH($F71,TaxCode,0)),0,OFFSET(Setup!$D$23,MATCH($F71,TaxCode,0),0,1,1)))</f>
        <v>0</v>
      </c>
      <c r="N71" s="342">
        <f ca="1">$O71/(1+IF(ISERROR($F71),0,IF(ISNA(MATCH($F71,TaxCode,0)),0,OFFSET(Setup!$D$23,MATCH($F71,TaxCode,0),0,1,1)))+IF(ISERROR($G71),0,IF(ISNA(MATCH($G71,TaxCode,0)),0,OFFSET(Setup!$D$23,MATCH($G71,TaxCode,0),0,1,1))))*IF(ISERROR($G71),0,IF(ISNA(MATCH($G71,TaxCode,0)),0,OFFSET(Setup!$D$23,MATCH($G71,TaxCode,0),0,1,1)))</f>
        <v>0</v>
      </c>
      <c r="O71" s="342">
        <f t="shared" si="1"/>
        <v>0</v>
      </c>
      <c r="P71" s="308" t="str">
        <f t="shared" ca="1" si="2"/>
        <v>-</v>
      </c>
    </row>
    <row r="72" spans="11:16" ht="15.95" customHeight="1" x14ac:dyDescent="0.25">
      <c r="K72" s="308">
        <f t="shared" ca="1" si="0"/>
        <v>0</v>
      </c>
      <c r="L72" s="342" cm="1">
        <f t="array" aca="1" ref="L72" ca="1">O72-IF(ExpTaxCount=2,SUM(M72:N72),SUM(M72:M72))</f>
        <v>0</v>
      </c>
      <c r="M72" s="342">
        <f ca="1">$O72/(1+IF(ISERROR($F72),0,IF(ISNA(MATCH($F72,TaxCode,0)),0,OFFSET(Setup!$D$23,MATCH($F72,TaxCode,0),0,1,1)))+IF(ISERROR($G72),0,IF(ISNA(MATCH($G72,TaxCode,0)),0,OFFSET(Setup!$D$23,MATCH($G72,TaxCode,0),0,1,1))))*IF(ISERROR($F72),0,IF(ISNA(MATCH($F72,TaxCode,0)),0,OFFSET(Setup!$D$23,MATCH($F72,TaxCode,0),0,1,1)))</f>
        <v>0</v>
      </c>
      <c r="N72" s="342">
        <f ca="1">$O72/(1+IF(ISERROR($F72),0,IF(ISNA(MATCH($F72,TaxCode,0)),0,OFFSET(Setup!$D$23,MATCH($F72,TaxCode,0),0,1,1)))+IF(ISERROR($G72),0,IF(ISNA(MATCH($G72,TaxCode,0)),0,OFFSET(Setup!$D$23,MATCH($G72,TaxCode,0),0,1,1))))*IF(ISERROR($G72),0,IF(ISNA(MATCH($G72,TaxCode,0)),0,OFFSET(Setup!$D$23,MATCH($G72,TaxCode,0),0,1,1)))</f>
        <v>0</v>
      </c>
      <c r="O72" s="342">
        <f t="shared" si="1"/>
        <v>0</v>
      </c>
      <c r="P72" s="308" t="str">
        <f t="shared" ca="1" si="2"/>
        <v>-</v>
      </c>
    </row>
    <row r="73" spans="11:16" ht="15.95" customHeight="1" x14ac:dyDescent="0.25">
      <c r="K73" s="308">
        <f t="shared" ca="1" si="0"/>
        <v>0</v>
      </c>
      <c r="L73" s="342" cm="1">
        <f t="array" aca="1" ref="L73" ca="1">O73-IF(ExpTaxCount=2,SUM(M73:N73),SUM(M73:M73))</f>
        <v>0</v>
      </c>
      <c r="M73" s="342">
        <f ca="1">$O73/(1+IF(ISERROR($F73),0,IF(ISNA(MATCH($F73,TaxCode,0)),0,OFFSET(Setup!$D$23,MATCH($F73,TaxCode,0),0,1,1)))+IF(ISERROR($G73),0,IF(ISNA(MATCH($G73,TaxCode,0)),0,OFFSET(Setup!$D$23,MATCH($G73,TaxCode,0),0,1,1))))*IF(ISERROR($F73),0,IF(ISNA(MATCH($F73,TaxCode,0)),0,OFFSET(Setup!$D$23,MATCH($F73,TaxCode,0),0,1,1)))</f>
        <v>0</v>
      </c>
      <c r="N73" s="342">
        <f ca="1">$O73/(1+IF(ISERROR($F73),0,IF(ISNA(MATCH($F73,TaxCode,0)),0,OFFSET(Setup!$D$23,MATCH($F73,TaxCode,0),0,1,1)))+IF(ISERROR($G73),0,IF(ISNA(MATCH($G73,TaxCode,0)),0,OFFSET(Setup!$D$23,MATCH($G73,TaxCode,0),0,1,1))))*IF(ISERROR($G73),0,IF(ISNA(MATCH($G73,TaxCode,0)),0,OFFSET(Setup!$D$23,MATCH($G73,TaxCode,0),0,1,1)))</f>
        <v>0</v>
      </c>
      <c r="O73" s="342">
        <f t="shared" si="1"/>
        <v>0</v>
      </c>
      <c r="P73" s="308" t="str">
        <f t="shared" ca="1" si="2"/>
        <v>-</v>
      </c>
    </row>
    <row r="74" spans="11:16" ht="15.95" customHeight="1" x14ac:dyDescent="0.25">
      <c r="K74" s="308">
        <f t="shared" ca="1" si="0"/>
        <v>0</v>
      </c>
      <c r="L74" s="342" cm="1">
        <f t="array" aca="1" ref="L74" ca="1">O74-IF(ExpTaxCount=2,SUM(M74:N74),SUM(M74:M74))</f>
        <v>0</v>
      </c>
      <c r="M74" s="342">
        <f ca="1">$O74/(1+IF(ISERROR($F74),0,IF(ISNA(MATCH($F74,TaxCode,0)),0,OFFSET(Setup!$D$23,MATCH($F74,TaxCode,0),0,1,1)))+IF(ISERROR($G74),0,IF(ISNA(MATCH($G74,TaxCode,0)),0,OFFSET(Setup!$D$23,MATCH($G74,TaxCode,0),0,1,1))))*IF(ISERROR($F74),0,IF(ISNA(MATCH($F74,TaxCode,0)),0,OFFSET(Setup!$D$23,MATCH($F74,TaxCode,0),0,1,1)))</f>
        <v>0</v>
      </c>
      <c r="N74" s="342">
        <f ca="1">$O74/(1+IF(ISERROR($F74),0,IF(ISNA(MATCH($F74,TaxCode,0)),0,OFFSET(Setup!$D$23,MATCH($F74,TaxCode,0),0,1,1)))+IF(ISERROR($G74),0,IF(ISNA(MATCH($G74,TaxCode,0)),0,OFFSET(Setup!$D$23,MATCH($G74,TaxCode,0),0,1,1))))*IF(ISERROR($G74),0,IF(ISNA(MATCH($G74,TaxCode,0)),0,OFFSET(Setup!$D$23,MATCH($G74,TaxCode,0),0,1,1)))</f>
        <v>0</v>
      </c>
      <c r="O74" s="342">
        <f t="shared" si="1"/>
        <v>0</v>
      </c>
      <c r="P74" s="308" t="str">
        <f t="shared" ca="1" si="2"/>
        <v>-</v>
      </c>
    </row>
    <row r="75" spans="11:16" ht="15.95" customHeight="1" x14ac:dyDescent="0.25">
      <c r="K75" s="308">
        <f t="shared" ca="1" si="0"/>
        <v>0</v>
      </c>
      <c r="L75" s="342" cm="1">
        <f t="array" aca="1" ref="L75" ca="1">O75-IF(ExpTaxCount=2,SUM(M75:N75),SUM(M75:M75))</f>
        <v>0</v>
      </c>
      <c r="M75" s="342">
        <f ca="1">$O75/(1+IF(ISERROR($F75),0,IF(ISNA(MATCH($F75,TaxCode,0)),0,OFFSET(Setup!$D$23,MATCH($F75,TaxCode,0),0,1,1)))+IF(ISERROR($G75),0,IF(ISNA(MATCH($G75,TaxCode,0)),0,OFFSET(Setup!$D$23,MATCH($G75,TaxCode,0),0,1,1))))*IF(ISERROR($F75),0,IF(ISNA(MATCH($F75,TaxCode,0)),0,OFFSET(Setup!$D$23,MATCH($F75,TaxCode,0),0,1,1)))</f>
        <v>0</v>
      </c>
      <c r="N75" s="342">
        <f ca="1">$O75/(1+IF(ISERROR($F75),0,IF(ISNA(MATCH($F75,TaxCode,0)),0,OFFSET(Setup!$D$23,MATCH($F75,TaxCode,0),0,1,1)))+IF(ISERROR($G75),0,IF(ISNA(MATCH($G75,TaxCode,0)),0,OFFSET(Setup!$D$23,MATCH($G75,TaxCode,0),0,1,1))))*IF(ISERROR($G75),0,IF(ISNA(MATCH($G75,TaxCode,0)),0,OFFSET(Setup!$D$23,MATCH($G75,TaxCode,0),0,1,1)))</f>
        <v>0</v>
      </c>
      <c r="O75" s="342">
        <f t="shared" si="1"/>
        <v>0</v>
      </c>
      <c r="P75" s="308" t="str">
        <f t="shared" ca="1" si="2"/>
        <v>-</v>
      </c>
    </row>
    <row r="76" spans="11:16" ht="15.95" customHeight="1" x14ac:dyDescent="0.25">
      <c r="K76" s="308">
        <f t="shared" ref="K76:K139" ca="1" si="5">IF(AND($A76&lt;=$L$2,OR($J76&gt;$L$2,ISBLANK($J76))),$E76,0)</f>
        <v>0</v>
      </c>
      <c r="L76" s="342" cm="1">
        <f t="array" aca="1" ref="L76" ca="1">O76-IF(ExpTaxCount=2,SUM(M76:N76),SUM(M76:M76))</f>
        <v>0</v>
      </c>
      <c r="M76" s="342">
        <f ca="1">$O76/(1+IF(ISERROR($F76),0,IF(ISNA(MATCH($F76,TaxCode,0)),0,OFFSET(Setup!$D$23,MATCH($F76,TaxCode,0),0,1,1)))+IF(ISERROR($G76),0,IF(ISNA(MATCH($G76,TaxCode,0)),0,OFFSET(Setup!$D$23,MATCH($G76,TaxCode,0),0,1,1))))*IF(ISERROR($F76),0,IF(ISNA(MATCH($F76,TaxCode,0)),0,OFFSET(Setup!$D$23,MATCH($F76,TaxCode,0),0,1,1)))</f>
        <v>0</v>
      </c>
      <c r="N76" s="342">
        <f ca="1">$O76/(1+IF(ISERROR($F76),0,IF(ISNA(MATCH($F76,TaxCode,0)),0,OFFSET(Setup!$D$23,MATCH($F76,TaxCode,0),0,1,1)))+IF(ISERROR($G76),0,IF(ISNA(MATCH($G76,TaxCode,0)),0,OFFSET(Setup!$D$23,MATCH($G76,TaxCode,0),0,1,1))))*IF(ISERROR($G76),0,IF(ISNA(MATCH($G76,TaxCode,0)),0,OFFSET(Setup!$D$23,MATCH($G76,TaxCode,0),0,1,1)))</f>
        <v>0</v>
      </c>
      <c r="O76" s="342">
        <f t="shared" ref="O76:O139" si="6">E76</f>
        <v>0</v>
      </c>
      <c r="P76" s="308" t="str">
        <f t="shared" ref="P76:P139" ca="1" si="7">IF(AND(ISBLANK(J76)=FALSE,J76&lt;A76),"E1",IF(AND(ISBLANK(I76)=FALSE,ISNA(MATCH($I76,AccountNo,0))),"E2",IF(AND(ISBLANK(H76)=FALSE,ISNA(MATCH($H76,BankCode,0))),"E3","-")))</f>
        <v>-</v>
      </c>
    </row>
    <row r="77" spans="11:16" ht="15.95" customHeight="1" x14ac:dyDescent="0.25">
      <c r="K77" s="308">
        <f t="shared" ca="1" si="5"/>
        <v>0</v>
      </c>
      <c r="L77" s="342" cm="1">
        <f t="array" aca="1" ref="L77" ca="1">O77-IF(ExpTaxCount=2,SUM(M77:N77),SUM(M77:M77))</f>
        <v>0</v>
      </c>
      <c r="M77" s="342">
        <f ca="1">$O77/(1+IF(ISERROR($F77),0,IF(ISNA(MATCH($F77,TaxCode,0)),0,OFFSET(Setup!$D$23,MATCH($F77,TaxCode,0),0,1,1)))+IF(ISERROR($G77),0,IF(ISNA(MATCH($G77,TaxCode,0)),0,OFFSET(Setup!$D$23,MATCH($G77,TaxCode,0),0,1,1))))*IF(ISERROR($F77),0,IF(ISNA(MATCH($F77,TaxCode,0)),0,OFFSET(Setup!$D$23,MATCH($F77,TaxCode,0),0,1,1)))</f>
        <v>0</v>
      </c>
      <c r="N77" s="342">
        <f ca="1">$O77/(1+IF(ISERROR($F77),0,IF(ISNA(MATCH($F77,TaxCode,0)),0,OFFSET(Setup!$D$23,MATCH($F77,TaxCode,0),0,1,1)))+IF(ISERROR($G77),0,IF(ISNA(MATCH($G77,TaxCode,0)),0,OFFSET(Setup!$D$23,MATCH($G77,TaxCode,0),0,1,1))))*IF(ISERROR($G77),0,IF(ISNA(MATCH($G77,TaxCode,0)),0,OFFSET(Setup!$D$23,MATCH($G77,TaxCode,0),0,1,1)))</f>
        <v>0</v>
      </c>
      <c r="O77" s="342">
        <f t="shared" si="6"/>
        <v>0</v>
      </c>
      <c r="P77" s="308" t="str">
        <f t="shared" ca="1" si="7"/>
        <v>-</v>
      </c>
    </row>
    <row r="78" spans="11:16" ht="15.95" customHeight="1" x14ac:dyDescent="0.25">
      <c r="K78" s="308">
        <f t="shared" ca="1" si="5"/>
        <v>0</v>
      </c>
      <c r="L78" s="342" cm="1">
        <f t="array" aca="1" ref="L78" ca="1">O78-IF(ExpTaxCount=2,SUM(M78:N78),SUM(M78:M78))</f>
        <v>0</v>
      </c>
      <c r="M78" s="342">
        <f ca="1">$O78/(1+IF(ISERROR($F78),0,IF(ISNA(MATCH($F78,TaxCode,0)),0,OFFSET(Setup!$D$23,MATCH($F78,TaxCode,0),0,1,1)))+IF(ISERROR($G78),0,IF(ISNA(MATCH($G78,TaxCode,0)),0,OFFSET(Setup!$D$23,MATCH($G78,TaxCode,0),0,1,1))))*IF(ISERROR($F78),0,IF(ISNA(MATCH($F78,TaxCode,0)),0,OFFSET(Setup!$D$23,MATCH($F78,TaxCode,0),0,1,1)))</f>
        <v>0</v>
      </c>
      <c r="N78" s="342">
        <f ca="1">$O78/(1+IF(ISERROR($F78),0,IF(ISNA(MATCH($F78,TaxCode,0)),0,OFFSET(Setup!$D$23,MATCH($F78,TaxCode,0),0,1,1)))+IF(ISERROR($G78),0,IF(ISNA(MATCH($G78,TaxCode,0)),0,OFFSET(Setup!$D$23,MATCH($G78,TaxCode,0),0,1,1))))*IF(ISERROR($G78),0,IF(ISNA(MATCH($G78,TaxCode,0)),0,OFFSET(Setup!$D$23,MATCH($G78,TaxCode,0),0,1,1)))</f>
        <v>0</v>
      </c>
      <c r="O78" s="342">
        <f t="shared" si="6"/>
        <v>0</v>
      </c>
      <c r="P78" s="308" t="str">
        <f t="shared" ca="1" si="7"/>
        <v>-</v>
      </c>
    </row>
    <row r="79" spans="11:16" ht="15.95" customHeight="1" x14ac:dyDescent="0.25">
      <c r="K79" s="308">
        <f t="shared" ca="1" si="5"/>
        <v>0</v>
      </c>
      <c r="L79" s="342" cm="1">
        <f t="array" aca="1" ref="L79" ca="1">O79-IF(ExpTaxCount=2,SUM(M79:N79),SUM(M79:M79))</f>
        <v>0</v>
      </c>
      <c r="M79" s="342">
        <f ca="1">$O79/(1+IF(ISERROR($F79),0,IF(ISNA(MATCH($F79,TaxCode,0)),0,OFFSET(Setup!$D$23,MATCH($F79,TaxCode,0),0,1,1)))+IF(ISERROR($G79),0,IF(ISNA(MATCH($G79,TaxCode,0)),0,OFFSET(Setup!$D$23,MATCH($G79,TaxCode,0),0,1,1))))*IF(ISERROR($F79),0,IF(ISNA(MATCH($F79,TaxCode,0)),0,OFFSET(Setup!$D$23,MATCH($F79,TaxCode,0),0,1,1)))</f>
        <v>0</v>
      </c>
      <c r="N79" s="342">
        <f ca="1">$O79/(1+IF(ISERROR($F79),0,IF(ISNA(MATCH($F79,TaxCode,0)),0,OFFSET(Setup!$D$23,MATCH($F79,TaxCode,0),0,1,1)))+IF(ISERROR($G79),0,IF(ISNA(MATCH($G79,TaxCode,0)),0,OFFSET(Setup!$D$23,MATCH($G79,TaxCode,0),0,1,1))))*IF(ISERROR($G79),0,IF(ISNA(MATCH($G79,TaxCode,0)),0,OFFSET(Setup!$D$23,MATCH($G79,TaxCode,0),0,1,1)))</f>
        <v>0</v>
      </c>
      <c r="O79" s="342">
        <f t="shared" si="6"/>
        <v>0</v>
      </c>
      <c r="P79" s="308" t="str">
        <f t="shared" ca="1" si="7"/>
        <v>-</v>
      </c>
    </row>
    <row r="80" spans="11:16" ht="15.95" customHeight="1" x14ac:dyDescent="0.25">
      <c r="K80" s="308">
        <f t="shared" ca="1" si="5"/>
        <v>0</v>
      </c>
      <c r="L80" s="342" cm="1">
        <f t="array" aca="1" ref="L80" ca="1">O80-IF(ExpTaxCount=2,SUM(M80:N80),SUM(M80:M80))</f>
        <v>0</v>
      </c>
      <c r="M80" s="342">
        <f ca="1">$O80/(1+IF(ISERROR($F80),0,IF(ISNA(MATCH($F80,TaxCode,0)),0,OFFSET(Setup!$D$23,MATCH($F80,TaxCode,0),0,1,1)))+IF(ISERROR($G80),0,IF(ISNA(MATCH($G80,TaxCode,0)),0,OFFSET(Setup!$D$23,MATCH($G80,TaxCode,0),0,1,1))))*IF(ISERROR($F80),0,IF(ISNA(MATCH($F80,TaxCode,0)),0,OFFSET(Setup!$D$23,MATCH($F80,TaxCode,0),0,1,1)))</f>
        <v>0</v>
      </c>
      <c r="N80" s="342">
        <f ca="1">$O80/(1+IF(ISERROR($F80),0,IF(ISNA(MATCH($F80,TaxCode,0)),0,OFFSET(Setup!$D$23,MATCH($F80,TaxCode,0),0,1,1)))+IF(ISERROR($G80),0,IF(ISNA(MATCH($G80,TaxCode,0)),0,OFFSET(Setup!$D$23,MATCH($G80,TaxCode,0),0,1,1))))*IF(ISERROR($G80),0,IF(ISNA(MATCH($G80,TaxCode,0)),0,OFFSET(Setup!$D$23,MATCH($G80,TaxCode,0),0,1,1)))</f>
        <v>0</v>
      </c>
      <c r="O80" s="342">
        <f t="shared" si="6"/>
        <v>0</v>
      </c>
      <c r="P80" s="308" t="str">
        <f t="shared" ca="1" si="7"/>
        <v>-</v>
      </c>
    </row>
    <row r="81" spans="11:16" ht="15.95" customHeight="1" x14ac:dyDescent="0.25">
      <c r="K81" s="308">
        <f t="shared" ca="1" si="5"/>
        <v>0</v>
      </c>
      <c r="L81" s="342" cm="1">
        <f t="array" aca="1" ref="L81" ca="1">O81-IF(ExpTaxCount=2,SUM(M81:N81),SUM(M81:M81))</f>
        <v>0</v>
      </c>
      <c r="M81" s="342">
        <f ca="1">$O81/(1+IF(ISERROR($F81),0,IF(ISNA(MATCH($F81,TaxCode,0)),0,OFFSET(Setup!$D$23,MATCH($F81,TaxCode,0),0,1,1)))+IF(ISERROR($G81),0,IF(ISNA(MATCH($G81,TaxCode,0)),0,OFFSET(Setup!$D$23,MATCH($G81,TaxCode,0),0,1,1))))*IF(ISERROR($F81),0,IF(ISNA(MATCH($F81,TaxCode,0)),0,OFFSET(Setup!$D$23,MATCH($F81,TaxCode,0),0,1,1)))</f>
        <v>0</v>
      </c>
      <c r="N81" s="342">
        <f ca="1">$O81/(1+IF(ISERROR($F81),0,IF(ISNA(MATCH($F81,TaxCode,0)),0,OFFSET(Setup!$D$23,MATCH($F81,TaxCode,0),0,1,1)))+IF(ISERROR($G81),0,IF(ISNA(MATCH($G81,TaxCode,0)),0,OFFSET(Setup!$D$23,MATCH($G81,TaxCode,0),0,1,1))))*IF(ISERROR($G81),0,IF(ISNA(MATCH($G81,TaxCode,0)),0,OFFSET(Setup!$D$23,MATCH($G81,TaxCode,0),0,1,1)))</f>
        <v>0</v>
      </c>
      <c r="O81" s="342">
        <f t="shared" si="6"/>
        <v>0</v>
      </c>
      <c r="P81" s="308" t="str">
        <f t="shared" ca="1" si="7"/>
        <v>-</v>
      </c>
    </row>
    <row r="82" spans="11:16" ht="15.95" customHeight="1" x14ac:dyDescent="0.25">
      <c r="K82" s="308">
        <f t="shared" ca="1" si="5"/>
        <v>0</v>
      </c>
      <c r="L82" s="342" cm="1">
        <f t="array" aca="1" ref="L82" ca="1">O82-IF(ExpTaxCount=2,SUM(M82:N82),SUM(M82:M82))</f>
        <v>0</v>
      </c>
      <c r="M82" s="342">
        <f ca="1">$O82/(1+IF(ISERROR($F82),0,IF(ISNA(MATCH($F82,TaxCode,0)),0,OFFSET(Setup!$D$23,MATCH($F82,TaxCode,0),0,1,1)))+IF(ISERROR($G82),0,IF(ISNA(MATCH($G82,TaxCode,0)),0,OFFSET(Setup!$D$23,MATCH($G82,TaxCode,0),0,1,1))))*IF(ISERROR($F82),0,IF(ISNA(MATCH($F82,TaxCode,0)),0,OFFSET(Setup!$D$23,MATCH($F82,TaxCode,0),0,1,1)))</f>
        <v>0</v>
      </c>
      <c r="N82" s="342">
        <f ca="1">$O82/(1+IF(ISERROR($F82),0,IF(ISNA(MATCH($F82,TaxCode,0)),0,OFFSET(Setup!$D$23,MATCH($F82,TaxCode,0),0,1,1)))+IF(ISERROR($G82),0,IF(ISNA(MATCH($G82,TaxCode,0)),0,OFFSET(Setup!$D$23,MATCH($G82,TaxCode,0),0,1,1))))*IF(ISERROR($G82),0,IF(ISNA(MATCH($G82,TaxCode,0)),0,OFFSET(Setup!$D$23,MATCH($G82,TaxCode,0),0,1,1)))</f>
        <v>0</v>
      </c>
      <c r="O82" s="342">
        <f t="shared" si="6"/>
        <v>0</v>
      </c>
      <c r="P82" s="308" t="str">
        <f t="shared" ca="1" si="7"/>
        <v>-</v>
      </c>
    </row>
    <row r="83" spans="11:16" ht="15.95" customHeight="1" x14ac:dyDescent="0.25">
      <c r="K83" s="308">
        <f t="shared" ca="1" si="5"/>
        <v>0</v>
      </c>
      <c r="L83" s="342" cm="1">
        <f t="array" aca="1" ref="L83" ca="1">O83-IF(ExpTaxCount=2,SUM(M83:N83),SUM(M83:M83))</f>
        <v>0</v>
      </c>
      <c r="M83" s="342">
        <f ca="1">$O83/(1+IF(ISERROR($F83),0,IF(ISNA(MATCH($F83,TaxCode,0)),0,OFFSET(Setup!$D$23,MATCH($F83,TaxCode,0),0,1,1)))+IF(ISERROR($G83),0,IF(ISNA(MATCH($G83,TaxCode,0)),0,OFFSET(Setup!$D$23,MATCH($G83,TaxCode,0),0,1,1))))*IF(ISERROR($F83),0,IF(ISNA(MATCH($F83,TaxCode,0)),0,OFFSET(Setup!$D$23,MATCH($F83,TaxCode,0),0,1,1)))</f>
        <v>0</v>
      </c>
      <c r="N83" s="342">
        <f ca="1">$O83/(1+IF(ISERROR($F83),0,IF(ISNA(MATCH($F83,TaxCode,0)),0,OFFSET(Setup!$D$23,MATCH($F83,TaxCode,0),0,1,1)))+IF(ISERROR($G83),0,IF(ISNA(MATCH($G83,TaxCode,0)),0,OFFSET(Setup!$D$23,MATCH($G83,TaxCode,0),0,1,1))))*IF(ISERROR($G83),0,IF(ISNA(MATCH($G83,TaxCode,0)),0,OFFSET(Setup!$D$23,MATCH($G83,TaxCode,0),0,1,1)))</f>
        <v>0</v>
      </c>
      <c r="O83" s="342">
        <f t="shared" si="6"/>
        <v>0</v>
      </c>
      <c r="P83" s="308" t="str">
        <f t="shared" ca="1" si="7"/>
        <v>-</v>
      </c>
    </row>
    <row r="84" spans="11:16" ht="15.95" customHeight="1" x14ac:dyDescent="0.25">
      <c r="K84" s="308">
        <f t="shared" ca="1" si="5"/>
        <v>0</v>
      </c>
      <c r="L84" s="342" cm="1">
        <f t="array" aca="1" ref="L84" ca="1">O84-IF(ExpTaxCount=2,SUM(M84:N84),SUM(M84:M84))</f>
        <v>0</v>
      </c>
      <c r="M84" s="342">
        <f ca="1">$O84/(1+IF(ISERROR($F84),0,IF(ISNA(MATCH($F84,TaxCode,0)),0,OFFSET(Setup!$D$23,MATCH($F84,TaxCode,0),0,1,1)))+IF(ISERROR($G84),0,IF(ISNA(MATCH($G84,TaxCode,0)),0,OFFSET(Setup!$D$23,MATCH($G84,TaxCode,0),0,1,1))))*IF(ISERROR($F84),0,IF(ISNA(MATCH($F84,TaxCode,0)),0,OFFSET(Setup!$D$23,MATCH($F84,TaxCode,0),0,1,1)))</f>
        <v>0</v>
      </c>
      <c r="N84" s="342">
        <f ca="1">$O84/(1+IF(ISERROR($F84),0,IF(ISNA(MATCH($F84,TaxCode,0)),0,OFFSET(Setup!$D$23,MATCH($F84,TaxCode,0),0,1,1)))+IF(ISERROR($G84),0,IF(ISNA(MATCH($G84,TaxCode,0)),0,OFFSET(Setup!$D$23,MATCH($G84,TaxCode,0),0,1,1))))*IF(ISERROR($G84),0,IF(ISNA(MATCH($G84,TaxCode,0)),0,OFFSET(Setup!$D$23,MATCH($G84,TaxCode,0),0,1,1)))</f>
        <v>0</v>
      </c>
      <c r="O84" s="342">
        <f t="shared" si="6"/>
        <v>0</v>
      </c>
      <c r="P84" s="308" t="str">
        <f t="shared" ca="1" si="7"/>
        <v>-</v>
      </c>
    </row>
    <row r="85" spans="11:16" ht="15.95" customHeight="1" x14ac:dyDescent="0.25">
      <c r="K85" s="308">
        <f t="shared" ca="1" si="5"/>
        <v>0</v>
      </c>
      <c r="L85" s="342" cm="1">
        <f t="array" aca="1" ref="L85" ca="1">O85-IF(ExpTaxCount=2,SUM(M85:N85),SUM(M85:M85))</f>
        <v>0</v>
      </c>
      <c r="M85" s="342">
        <f ca="1">$O85/(1+IF(ISERROR($F85),0,IF(ISNA(MATCH($F85,TaxCode,0)),0,OFFSET(Setup!$D$23,MATCH($F85,TaxCode,0),0,1,1)))+IF(ISERROR($G85),0,IF(ISNA(MATCH($G85,TaxCode,0)),0,OFFSET(Setup!$D$23,MATCH($G85,TaxCode,0),0,1,1))))*IF(ISERROR($F85),0,IF(ISNA(MATCH($F85,TaxCode,0)),0,OFFSET(Setup!$D$23,MATCH($F85,TaxCode,0),0,1,1)))</f>
        <v>0</v>
      </c>
      <c r="N85" s="342">
        <f ca="1">$O85/(1+IF(ISERROR($F85),0,IF(ISNA(MATCH($F85,TaxCode,0)),0,OFFSET(Setup!$D$23,MATCH($F85,TaxCode,0),0,1,1)))+IF(ISERROR($G85),0,IF(ISNA(MATCH($G85,TaxCode,0)),0,OFFSET(Setup!$D$23,MATCH($G85,TaxCode,0),0,1,1))))*IF(ISERROR($G85),0,IF(ISNA(MATCH($G85,TaxCode,0)),0,OFFSET(Setup!$D$23,MATCH($G85,TaxCode,0),0,1,1)))</f>
        <v>0</v>
      </c>
      <c r="O85" s="342">
        <f t="shared" si="6"/>
        <v>0</v>
      </c>
      <c r="P85" s="308" t="str">
        <f t="shared" ca="1" si="7"/>
        <v>-</v>
      </c>
    </row>
    <row r="86" spans="11:16" ht="15.95" customHeight="1" x14ac:dyDescent="0.25">
      <c r="K86" s="308">
        <f t="shared" ca="1" si="5"/>
        <v>0</v>
      </c>
      <c r="L86" s="342" cm="1">
        <f t="array" aca="1" ref="L86" ca="1">O86-IF(ExpTaxCount=2,SUM(M86:N86),SUM(M86:M86))</f>
        <v>0</v>
      </c>
      <c r="M86" s="342">
        <f ca="1">$O86/(1+IF(ISERROR($F86),0,IF(ISNA(MATCH($F86,TaxCode,0)),0,OFFSET(Setup!$D$23,MATCH($F86,TaxCode,0),0,1,1)))+IF(ISERROR($G86),0,IF(ISNA(MATCH($G86,TaxCode,0)),0,OFFSET(Setup!$D$23,MATCH($G86,TaxCode,0),0,1,1))))*IF(ISERROR($F86),0,IF(ISNA(MATCH($F86,TaxCode,0)),0,OFFSET(Setup!$D$23,MATCH($F86,TaxCode,0),0,1,1)))</f>
        <v>0</v>
      </c>
      <c r="N86" s="342">
        <f ca="1">$O86/(1+IF(ISERROR($F86),0,IF(ISNA(MATCH($F86,TaxCode,0)),0,OFFSET(Setup!$D$23,MATCH($F86,TaxCode,0),0,1,1)))+IF(ISERROR($G86),0,IF(ISNA(MATCH($G86,TaxCode,0)),0,OFFSET(Setup!$D$23,MATCH($G86,TaxCode,0),0,1,1))))*IF(ISERROR($G86),0,IF(ISNA(MATCH($G86,TaxCode,0)),0,OFFSET(Setup!$D$23,MATCH($G86,TaxCode,0),0,1,1)))</f>
        <v>0</v>
      </c>
      <c r="O86" s="342">
        <f t="shared" si="6"/>
        <v>0</v>
      </c>
      <c r="P86" s="308" t="str">
        <f t="shared" ca="1" si="7"/>
        <v>-</v>
      </c>
    </row>
    <row r="87" spans="11:16" ht="15.95" customHeight="1" x14ac:dyDescent="0.25">
      <c r="K87" s="308">
        <f t="shared" ca="1" si="5"/>
        <v>0</v>
      </c>
      <c r="L87" s="342" cm="1">
        <f t="array" aca="1" ref="L87" ca="1">O87-IF(ExpTaxCount=2,SUM(M87:N87),SUM(M87:M87))</f>
        <v>0</v>
      </c>
      <c r="M87" s="342">
        <f ca="1">$O87/(1+IF(ISERROR($F87),0,IF(ISNA(MATCH($F87,TaxCode,0)),0,OFFSET(Setup!$D$23,MATCH($F87,TaxCode,0),0,1,1)))+IF(ISERROR($G87),0,IF(ISNA(MATCH($G87,TaxCode,0)),0,OFFSET(Setup!$D$23,MATCH($G87,TaxCode,0),0,1,1))))*IF(ISERROR($F87),0,IF(ISNA(MATCH($F87,TaxCode,0)),0,OFFSET(Setup!$D$23,MATCH($F87,TaxCode,0),0,1,1)))</f>
        <v>0</v>
      </c>
      <c r="N87" s="342">
        <f ca="1">$O87/(1+IF(ISERROR($F87),0,IF(ISNA(MATCH($F87,TaxCode,0)),0,OFFSET(Setup!$D$23,MATCH($F87,TaxCode,0),0,1,1)))+IF(ISERROR($G87),0,IF(ISNA(MATCH($G87,TaxCode,0)),0,OFFSET(Setup!$D$23,MATCH($G87,TaxCode,0),0,1,1))))*IF(ISERROR($G87),0,IF(ISNA(MATCH($G87,TaxCode,0)),0,OFFSET(Setup!$D$23,MATCH($G87,TaxCode,0),0,1,1)))</f>
        <v>0</v>
      </c>
      <c r="O87" s="342">
        <f t="shared" si="6"/>
        <v>0</v>
      </c>
      <c r="P87" s="308" t="str">
        <f t="shared" ca="1" si="7"/>
        <v>-</v>
      </c>
    </row>
    <row r="88" spans="11:16" ht="15.95" customHeight="1" x14ac:dyDescent="0.25">
      <c r="K88" s="308">
        <f t="shared" ca="1" si="5"/>
        <v>0</v>
      </c>
      <c r="L88" s="342" cm="1">
        <f t="array" aca="1" ref="L88" ca="1">O88-IF(ExpTaxCount=2,SUM(M88:N88),SUM(M88:M88))</f>
        <v>0</v>
      </c>
      <c r="M88" s="342">
        <f ca="1">$O88/(1+IF(ISERROR($F88),0,IF(ISNA(MATCH($F88,TaxCode,0)),0,OFFSET(Setup!$D$23,MATCH($F88,TaxCode,0),0,1,1)))+IF(ISERROR($G88),0,IF(ISNA(MATCH($G88,TaxCode,0)),0,OFFSET(Setup!$D$23,MATCH($G88,TaxCode,0),0,1,1))))*IF(ISERROR($F88),0,IF(ISNA(MATCH($F88,TaxCode,0)),0,OFFSET(Setup!$D$23,MATCH($F88,TaxCode,0),0,1,1)))</f>
        <v>0</v>
      </c>
      <c r="N88" s="342">
        <f ca="1">$O88/(1+IF(ISERROR($F88),0,IF(ISNA(MATCH($F88,TaxCode,0)),0,OFFSET(Setup!$D$23,MATCH($F88,TaxCode,0),0,1,1)))+IF(ISERROR($G88),0,IF(ISNA(MATCH($G88,TaxCode,0)),0,OFFSET(Setup!$D$23,MATCH($G88,TaxCode,0),0,1,1))))*IF(ISERROR($G88),0,IF(ISNA(MATCH($G88,TaxCode,0)),0,OFFSET(Setup!$D$23,MATCH($G88,TaxCode,0),0,1,1)))</f>
        <v>0</v>
      </c>
      <c r="O88" s="342">
        <f t="shared" si="6"/>
        <v>0</v>
      </c>
      <c r="P88" s="308" t="str">
        <f t="shared" ca="1" si="7"/>
        <v>-</v>
      </c>
    </row>
    <row r="89" spans="11:16" ht="15.95" customHeight="1" x14ac:dyDescent="0.25">
      <c r="K89" s="308">
        <f t="shared" ca="1" si="5"/>
        <v>0</v>
      </c>
      <c r="L89" s="342" cm="1">
        <f t="array" aca="1" ref="L89" ca="1">O89-IF(ExpTaxCount=2,SUM(M89:N89),SUM(M89:M89))</f>
        <v>0</v>
      </c>
      <c r="M89" s="342">
        <f ca="1">$O89/(1+IF(ISERROR($F89),0,IF(ISNA(MATCH($F89,TaxCode,0)),0,OFFSET(Setup!$D$23,MATCH($F89,TaxCode,0),0,1,1)))+IF(ISERROR($G89),0,IF(ISNA(MATCH($G89,TaxCode,0)),0,OFFSET(Setup!$D$23,MATCH($G89,TaxCode,0),0,1,1))))*IF(ISERROR($F89),0,IF(ISNA(MATCH($F89,TaxCode,0)),0,OFFSET(Setup!$D$23,MATCH($F89,TaxCode,0),0,1,1)))</f>
        <v>0</v>
      </c>
      <c r="N89" s="342">
        <f ca="1">$O89/(1+IF(ISERROR($F89),0,IF(ISNA(MATCH($F89,TaxCode,0)),0,OFFSET(Setup!$D$23,MATCH($F89,TaxCode,0),0,1,1)))+IF(ISERROR($G89),0,IF(ISNA(MATCH($G89,TaxCode,0)),0,OFFSET(Setup!$D$23,MATCH($G89,TaxCode,0),0,1,1))))*IF(ISERROR($G89),0,IF(ISNA(MATCH($G89,TaxCode,0)),0,OFFSET(Setup!$D$23,MATCH($G89,TaxCode,0),0,1,1)))</f>
        <v>0</v>
      </c>
      <c r="O89" s="342">
        <f t="shared" si="6"/>
        <v>0</v>
      </c>
      <c r="P89" s="308" t="str">
        <f t="shared" ca="1" si="7"/>
        <v>-</v>
      </c>
    </row>
    <row r="90" spans="11:16" ht="15.95" customHeight="1" x14ac:dyDescent="0.25">
      <c r="K90" s="308">
        <f t="shared" ca="1" si="5"/>
        <v>0</v>
      </c>
      <c r="L90" s="342" cm="1">
        <f t="array" aca="1" ref="L90" ca="1">O90-IF(ExpTaxCount=2,SUM(M90:N90),SUM(M90:M90))</f>
        <v>0</v>
      </c>
      <c r="M90" s="342">
        <f ca="1">$O90/(1+IF(ISERROR($F90),0,IF(ISNA(MATCH($F90,TaxCode,0)),0,OFFSET(Setup!$D$23,MATCH($F90,TaxCode,0),0,1,1)))+IF(ISERROR($G90),0,IF(ISNA(MATCH($G90,TaxCode,0)),0,OFFSET(Setup!$D$23,MATCH($G90,TaxCode,0),0,1,1))))*IF(ISERROR($F90),0,IF(ISNA(MATCH($F90,TaxCode,0)),0,OFFSET(Setup!$D$23,MATCH($F90,TaxCode,0),0,1,1)))</f>
        <v>0</v>
      </c>
      <c r="N90" s="342">
        <f ca="1">$O90/(1+IF(ISERROR($F90),0,IF(ISNA(MATCH($F90,TaxCode,0)),0,OFFSET(Setup!$D$23,MATCH($F90,TaxCode,0),0,1,1)))+IF(ISERROR($G90),0,IF(ISNA(MATCH($G90,TaxCode,0)),0,OFFSET(Setup!$D$23,MATCH($G90,TaxCode,0),0,1,1))))*IF(ISERROR($G90),0,IF(ISNA(MATCH($G90,TaxCode,0)),0,OFFSET(Setup!$D$23,MATCH($G90,TaxCode,0),0,1,1)))</f>
        <v>0</v>
      </c>
      <c r="O90" s="342">
        <f t="shared" si="6"/>
        <v>0</v>
      </c>
      <c r="P90" s="308" t="str">
        <f t="shared" ca="1" si="7"/>
        <v>-</v>
      </c>
    </row>
    <row r="91" spans="11:16" ht="15.95" customHeight="1" x14ac:dyDescent="0.25">
      <c r="K91" s="308">
        <f t="shared" ca="1" si="5"/>
        <v>0</v>
      </c>
      <c r="L91" s="342" cm="1">
        <f t="array" aca="1" ref="L91" ca="1">O91-IF(ExpTaxCount=2,SUM(M91:N91),SUM(M91:M91))</f>
        <v>0</v>
      </c>
      <c r="M91" s="342">
        <f ca="1">$O91/(1+IF(ISERROR($F91),0,IF(ISNA(MATCH($F91,TaxCode,0)),0,OFFSET(Setup!$D$23,MATCH($F91,TaxCode,0),0,1,1)))+IF(ISERROR($G91),0,IF(ISNA(MATCH($G91,TaxCode,0)),0,OFFSET(Setup!$D$23,MATCH($G91,TaxCode,0),0,1,1))))*IF(ISERROR($F91),0,IF(ISNA(MATCH($F91,TaxCode,0)),0,OFFSET(Setup!$D$23,MATCH($F91,TaxCode,0),0,1,1)))</f>
        <v>0</v>
      </c>
      <c r="N91" s="342">
        <f ca="1">$O91/(1+IF(ISERROR($F91),0,IF(ISNA(MATCH($F91,TaxCode,0)),0,OFFSET(Setup!$D$23,MATCH($F91,TaxCode,0),0,1,1)))+IF(ISERROR($G91),0,IF(ISNA(MATCH($G91,TaxCode,0)),0,OFFSET(Setup!$D$23,MATCH($G91,TaxCode,0),0,1,1))))*IF(ISERROR($G91),0,IF(ISNA(MATCH($G91,TaxCode,0)),0,OFFSET(Setup!$D$23,MATCH($G91,TaxCode,0),0,1,1)))</f>
        <v>0</v>
      </c>
      <c r="O91" s="342">
        <f t="shared" si="6"/>
        <v>0</v>
      </c>
      <c r="P91" s="308" t="str">
        <f t="shared" ca="1" si="7"/>
        <v>-</v>
      </c>
    </row>
    <row r="92" spans="11:16" ht="15.95" customHeight="1" x14ac:dyDescent="0.25">
      <c r="K92" s="308">
        <f t="shared" ca="1" si="5"/>
        <v>0</v>
      </c>
      <c r="L92" s="342" cm="1">
        <f t="array" aca="1" ref="L92" ca="1">O92-IF(ExpTaxCount=2,SUM(M92:N92),SUM(M92:M92))</f>
        <v>0</v>
      </c>
      <c r="M92" s="342">
        <f ca="1">$O92/(1+IF(ISERROR($F92),0,IF(ISNA(MATCH($F92,TaxCode,0)),0,OFFSET(Setup!$D$23,MATCH($F92,TaxCode,0),0,1,1)))+IF(ISERROR($G92),0,IF(ISNA(MATCH($G92,TaxCode,0)),0,OFFSET(Setup!$D$23,MATCH($G92,TaxCode,0),0,1,1))))*IF(ISERROR($F92),0,IF(ISNA(MATCH($F92,TaxCode,0)),0,OFFSET(Setup!$D$23,MATCH($F92,TaxCode,0),0,1,1)))</f>
        <v>0</v>
      </c>
      <c r="N92" s="342">
        <f ca="1">$O92/(1+IF(ISERROR($F92),0,IF(ISNA(MATCH($F92,TaxCode,0)),0,OFFSET(Setup!$D$23,MATCH($F92,TaxCode,0),0,1,1)))+IF(ISERROR($G92),0,IF(ISNA(MATCH($G92,TaxCode,0)),0,OFFSET(Setup!$D$23,MATCH($G92,TaxCode,0),0,1,1))))*IF(ISERROR($G92),0,IF(ISNA(MATCH($G92,TaxCode,0)),0,OFFSET(Setup!$D$23,MATCH($G92,TaxCode,0),0,1,1)))</f>
        <v>0</v>
      </c>
      <c r="O92" s="342">
        <f t="shared" si="6"/>
        <v>0</v>
      </c>
      <c r="P92" s="308" t="str">
        <f t="shared" ca="1" si="7"/>
        <v>-</v>
      </c>
    </row>
    <row r="93" spans="11:16" ht="15.95" customHeight="1" x14ac:dyDescent="0.25">
      <c r="K93" s="308">
        <f t="shared" ca="1" si="5"/>
        <v>0</v>
      </c>
      <c r="L93" s="342" cm="1">
        <f t="array" aca="1" ref="L93" ca="1">O93-IF(ExpTaxCount=2,SUM(M93:N93),SUM(M93:M93))</f>
        <v>0</v>
      </c>
      <c r="M93" s="342">
        <f ca="1">$O93/(1+IF(ISERROR($F93),0,IF(ISNA(MATCH($F93,TaxCode,0)),0,OFFSET(Setup!$D$23,MATCH($F93,TaxCode,0),0,1,1)))+IF(ISERROR($G93),0,IF(ISNA(MATCH($G93,TaxCode,0)),0,OFFSET(Setup!$D$23,MATCH($G93,TaxCode,0),0,1,1))))*IF(ISERROR($F93),0,IF(ISNA(MATCH($F93,TaxCode,0)),0,OFFSET(Setup!$D$23,MATCH($F93,TaxCode,0),0,1,1)))</f>
        <v>0</v>
      </c>
      <c r="N93" s="342">
        <f ca="1">$O93/(1+IF(ISERROR($F93),0,IF(ISNA(MATCH($F93,TaxCode,0)),0,OFFSET(Setup!$D$23,MATCH($F93,TaxCode,0),0,1,1)))+IF(ISERROR($G93),0,IF(ISNA(MATCH($G93,TaxCode,0)),0,OFFSET(Setup!$D$23,MATCH($G93,TaxCode,0),0,1,1))))*IF(ISERROR($G93),0,IF(ISNA(MATCH($G93,TaxCode,0)),0,OFFSET(Setup!$D$23,MATCH($G93,TaxCode,0),0,1,1)))</f>
        <v>0</v>
      </c>
      <c r="O93" s="342">
        <f t="shared" si="6"/>
        <v>0</v>
      </c>
      <c r="P93" s="308" t="str">
        <f t="shared" ca="1" si="7"/>
        <v>-</v>
      </c>
    </row>
    <row r="94" spans="11:16" ht="15.95" customHeight="1" x14ac:dyDescent="0.25">
      <c r="K94" s="308">
        <f t="shared" ca="1" si="5"/>
        <v>0</v>
      </c>
      <c r="L94" s="342" cm="1">
        <f t="array" aca="1" ref="L94" ca="1">O94-IF(ExpTaxCount=2,SUM(M94:N94),SUM(M94:M94))</f>
        <v>0</v>
      </c>
      <c r="M94" s="342">
        <f ca="1">$O94/(1+IF(ISERROR($F94),0,IF(ISNA(MATCH($F94,TaxCode,0)),0,OFFSET(Setup!$D$23,MATCH($F94,TaxCode,0),0,1,1)))+IF(ISERROR($G94),0,IF(ISNA(MATCH($G94,TaxCode,0)),0,OFFSET(Setup!$D$23,MATCH($G94,TaxCode,0),0,1,1))))*IF(ISERROR($F94),0,IF(ISNA(MATCH($F94,TaxCode,0)),0,OFFSET(Setup!$D$23,MATCH($F94,TaxCode,0),0,1,1)))</f>
        <v>0</v>
      </c>
      <c r="N94" s="342">
        <f ca="1">$O94/(1+IF(ISERROR($F94),0,IF(ISNA(MATCH($F94,TaxCode,0)),0,OFFSET(Setup!$D$23,MATCH($F94,TaxCode,0),0,1,1)))+IF(ISERROR($G94),0,IF(ISNA(MATCH($G94,TaxCode,0)),0,OFFSET(Setup!$D$23,MATCH($G94,TaxCode,0),0,1,1))))*IF(ISERROR($G94),0,IF(ISNA(MATCH($G94,TaxCode,0)),0,OFFSET(Setup!$D$23,MATCH($G94,TaxCode,0),0,1,1)))</f>
        <v>0</v>
      </c>
      <c r="O94" s="342">
        <f t="shared" si="6"/>
        <v>0</v>
      </c>
      <c r="P94" s="308" t="str">
        <f t="shared" ca="1" si="7"/>
        <v>-</v>
      </c>
    </row>
    <row r="95" spans="11:16" ht="15.95" customHeight="1" x14ac:dyDescent="0.25">
      <c r="K95" s="308">
        <f t="shared" ca="1" si="5"/>
        <v>0</v>
      </c>
      <c r="L95" s="342" cm="1">
        <f t="array" aca="1" ref="L95" ca="1">O95-IF(ExpTaxCount=2,SUM(M95:N95),SUM(M95:M95))</f>
        <v>0</v>
      </c>
      <c r="M95" s="342">
        <f ca="1">$O95/(1+IF(ISERROR($F95),0,IF(ISNA(MATCH($F95,TaxCode,0)),0,OFFSET(Setup!$D$23,MATCH($F95,TaxCode,0),0,1,1)))+IF(ISERROR($G95),0,IF(ISNA(MATCH($G95,TaxCode,0)),0,OFFSET(Setup!$D$23,MATCH($G95,TaxCode,0),0,1,1))))*IF(ISERROR($F95),0,IF(ISNA(MATCH($F95,TaxCode,0)),0,OFFSET(Setup!$D$23,MATCH($F95,TaxCode,0),0,1,1)))</f>
        <v>0</v>
      </c>
      <c r="N95" s="342">
        <f ca="1">$O95/(1+IF(ISERROR($F95),0,IF(ISNA(MATCH($F95,TaxCode,0)),0,OFFSET(Setup!$D$23,MATCH($F95,TaxCode,0),0,1,1)))+IF(ISERROR($G95),0,IF(ISNA(MATCH($G95,TaxCode,0)),0,OFFSET(Setup!$D$23,MATCH($G95,TaxCode,0),0,1,1))))*IF(ISERROR($G95),0,IF(ISNA(MATCH($G95,TaxCode,0)),0,OFFSET(Setup!$D$23,MATCH($G95,TaxCode,0),0,1,1)))</f>
        <v>0</v>
      </c>
      <c r="O95" s="342">
        <f t="shared" si="6"/>
        <v>0</v>
      </c>
      <c r="P95" s="308" t="str">
        <f t="shared" ca="1" si="7"/>
        <v>-</v>
      </c>
    </row>
    <row r="96" spans="11:16" ht="15.95" customHeight="1" x14ac:dyDescent="0.25">
      <c r="K96" s="308">
        <f t="shared" ca="1" si="5"/>
        <v>0</v>
      </c>
      <c r="L96" s="342" cm="1">
        <f t="array" aca="1" ref="L96" ca="1">O96-IF(ExpTaxCount=2,SUM(M96:N96),SUM(M96:M96))</f>
        <v>0</v>
      </c>
      <c r="M96" s="342">
        <f ca="1">$O96/(1+IF(ISERROR($F96),0,IF(ISNA(MATCH($F96,TaxCode,0)),0,OFFSET(Setup!$D$23,MATCH($F96,TaxCode,0),0,1,1)))+IF(ISERROR($G96),0,IF(ISNA(MATCH($G96,TaxCode,0)),0,OFFSET(Setup!$D$23,MATCH($G96,TaxCode,0),0,1,1))))*IF(ISERROR($F96),0,IF(ISNA(MATCH($F96,TaxCode,0)),0,OFFSET(Setup!$D$23,MATCH($F96,TaxCode,0),0,1,1)))</f>
        <v>0</v>
      </c>
      <c r="N96" s="342">
        <f ca="1">$O96/(1+IF(ISERROR($F96),0,IF(ISNA(MATCH($F96,TaxCode,0)),0,OFFSET(Setup!$D$23,MATCH($F96,TaxCode,0),0,1,1)))+IF(ISERROR($G96),0,IF(ISNA(MATCH($G96,TaxCode,0)),0,OFFSET(Setup!$D$23,MATCH($G96,TaxCode,0),0,1,1))))*IF(ISERROR($G96),0,IF(ISNA(MATCH($G96,TaxCode,0)),0,OFFSET(Setup!$D$23,MATCH($G96,TaxCode,0),0,1,1)))</f>
        <v>0</v>
      </c>
      <c r="O96" s="342">
        <f t="shared" si="6"/>
        <v>0</v>
      </c>
      <c r="P96" s="308" t="str">
        <f t="shared" ca="1" si="7"/>
        <v>-</v>
      </c>
    </row>
    <row r="97" spans="11:16" ht="15.95" customHeight="1" x14ac:dyDescent="0.25">
      <c r="K97" s="308">
        <f t="shared" ca="1" si="5"/>
        <v>0</v>
      </c>
      <c r="L97" s="342" cm="1">
        <f t="array" aca="1" ref="L97" ca="1">O97-IF(ExpTaxCount=2,SUM(M97:N97),SUM(M97:M97))</f>
        <v>0</v>
      </c>
      <c r="M97" s="342">
        <f ca="1">$O97/(1+IF(ISERROR($F97),0,IF(ISNA(MATCH($F97,TaxCode,0)),0,OFFSET(Setup!$D$23,MATCH($F97,TaxCode,0),0,1,1)))+IF(ISERROR($G97),0,IF(ISNA(MATCH($G97,TaxCode,0)),0,OFFSET(Setup!$D$23,MATCH($G97,TaxCode,0),0,1,1))))*IF(ISERROR($F97),0,IF(ISNA(MATCH($F97,TaxCode,0)),0,OFFSET(Setup!$D$23,MATCH($F97,TaxCode,0),0,1,1)))</f>
        <v>0</v>
      </c>
      <c r="N97" s="342">
        <f ca="1">$O97/(1+IF(ISERROR($F97),0,IF(ISNA(MATCH($F97,TaxCode,0)),0,OFFSET(Setup!$D$23,MATCH($F97,TaxCode,0),0,1,1)))+IF(ISERROR($G97),0,IF(ISNA(MATCH($G97,TaxCode,0)),0,OFFSET(Setup!$D$23,MATCH($G97,TaxCode,0),0,1,1))))*IF(ISERROR($G97),0,IF(ISNA(MATCH($G97,TaxCode,0)),0,OFFSET(Setup!$D$23,MATCH($G97,TaxCode,0),0,1,1)))</f>
        <v>0</v>
      </c>
      <c r="O97" s="342">
        <f t="shared" si="6"/>
        <v>0</v>
      </c>
      <c r="P97" s="308" t="str">
        <f t="shared" ca="1" si="7"/>
        <v>-</v>
      </c>
    </row>
    <row r="98" spans="11:16" ht="15.95" customHeight="1" x14ac:dyDescent="0.25">
      <c r="K98" s="308">
        <f t="shared" ca="1" si="5"/>
        <v>0</v>
      </c>
      <c r="L98" s="342" cm="1">
        <f t="array" aca="1" ref="L98" ca="1">O98-IF(ExpTaxCount=2,SUM(M98:N98),SUM(M98:M98))</f>
        <v>0</v>
      </c>
      <c r="M98" s="342">
        <f ca="1">$O98/(1+IF(ISERROR($F98),0,IF(ISNA(MATCH($F98,TaxCode,0)),0,OFFSET(Setup!$D$23,MATCH($F98,TaxCode,0),0,1,1)))+IF(ISERROR($G98),0,IF(ISNA(MATCH($G98,TaxCode,0)),0,OFFSET(Setup!$D$23,MATCH($G98,TaxCode,0),0,1,1))))*IF(ISERROR($F98),0,IF(ISNA(MATCH($F98,TaxCode,0)),0,OFFSET(Setup!$D$23,MATCH($F98,TaxCode,0),0,1,1)))</f>
        <v>0</v>
      </c>
      <c r="N98" s="342">
        <f ca="1">$O98/(1+IF(ISERROR($F98),0,IF(ISNA(MATCH($F98,TaxCode,0)),0,OFFSET(Setup!$D$23,MATCH($F98,TaxCode,0),0,1,1)))+IF(ISERROR($G98),0,IF(ISNA(MATCH($G98,TaxCode,0)),0,OFFSET(Setup!$D$23,MATCH($G98,TaxCode,0),0,1,1))))*IF(ISERROR($G98),0,IF(ISNA(MATCH($G98,TaxCode,0)),0,OFFSET(Setup!$D$23,MATCH($G98,TaxCode,0),0,1,1)))</f>
        <v>0</v>
      </c>
      <c r="O98" s="342">
        <f t="shared" si="6"/>
        <v>0</v>
      </c>
      <c r="P98" s="308" t="str">
        <f t="shared" ca="1" si="7"/>
        <v>-</v>
      </c>
    </row>
    <row r="99" spans="11:16" ht="15.95" customHeight="1" x14ac:dyDescent="0.25">
      <c r="K99" s="308">
        <f t="shared" ca="1" si="5"/>
        <v>0</v>
      </c>
      <c r="L99" s="342" cm="1">
        <f t="array" aca="1" ref="L99" ca="1">O99-IF(ExpTaxCount=2,SUM(M99:N99),SUM(M99:M99))</f>
        <v>0</v>
      </c>
      <c r="M99" s="342">
        <f ca="1">$O99/(1+IF(ISERROR($F99),0,IF(ISNA(MATCH($F99,TaxCode,0)),0,OFFSET(Setup!$D$23,MATCH($F99,TaxCode,0),0,1,1)))+IF(ISERROR($G99),0,IF(ISNA(MATCH($G99,TaxCode,0)),0,OFFSET(Setup!$D$23,MATCH($G99,TaxCode,0),0,1,1))))*IF(ISERROR($F99),0,IF(ISNA(MATCH($F99,TaxCode,0)),0,OFFSET(Setup!$D$23,MATCH($F99,TaxCode,0),0,1,1)))</f>
        <v>0</v>
      </c>
      <c r="N99" s="342">
        <f ca="1">$O99/(1+IF(ISERROR($F99),0,IF(ISNA(MATCH($F99,TaxCode,0)),0,OFFSET(Setup!$D$23,MATCH($F99,TaxCode,0),0,1,1)))+IF(ISERROR($G99),0,IF(ISNA(MATCH($G99,TaxCode,0)),0,OFFSET(Setup!$D$23,MATCH($G99,TaxCode,0),0,1,1))))*IF(ISERROR($G99),0,IF(ISNA(MATCH($G99,TaxCode,0)),0,OFFSET(Setup!$D$23,MATCH($G99,TaxCode,0),0,1,1)))</f>
        <v>0</v>
      </c>
      <c r="O99" s="342">
        <f t="shared" si="6"/>
        <v>0</v>
      </c>
      <c r="P99" s="308" t="str">
        <f t="shared" ca="1" si="7"/>
        <v>-</v>
      </c>
    </row>
    <row r="100" spans="11:16" ht="15.95" customHeight="1" x14ac:dyDescent="0.25">
      <c r="K100" s="308">
        <f t="shared" ca="1" si="5"/>
        <v>0</v>
      </c>
      <c r="L100" s="342" cm="1">
        <f t="array" aca="1" ref="L100" ca="1">O100-IF(ExpTaxCount=2,SUM(M100:N100),SUM(M100:M100))</f>
        <v>0</v>
      </c>
      <c r="M100" s="342">
        <f ca="1">$O100/(1+IF(ISERROR($F100),0,IF(ISNA(MATCH($F100,TaxCode,0)),0,OFFSET(Setup!$D$23,MATCH($F100,TaxCode,0),0,1,1)))+IF(ISERROR($G100),0,IF(ISNA(MATCH($G100,TaxCode,0)),0,OFFSET(Setup!$D$23,MATCH($G100,TaxCode,0),0,1,1))))*IF(ISERROR($F100),0,IF(ISNA(MATCH($F100,TaxCode,0)),0,OFFSET(Setup!$D$23,MATCH($F100,TaxCode,0),0,1,1)))</f>
        <v>0</v>
      </c>
      <c r="N100" s="342">
        <f ca="1">$O100/(1+IF(ISERROR($F100),0,IF(ISNA(MATCH($F100,TaxCode,0)),0,OFFSET(Setup!$D$23,MATCH($F100,TaxCode,0),0,1,1)))+IF(ISERROR($G100),0,IF(ISNA(MATCH($G100,TaxCode,0)),0,OFFSET(Setup!$D$23,MATCH($G100,TaxCode,0),0,1,1))))*IF(ISERROR($G100),0,IF(ISNA(MATCH($G100,TaxCode,0)),0,OFFSET(Setup!$D$23,MATCH($G100,TaxCode,0),0,1,1)))</f>
        <v>0</v>
      </c>
      <c r="O100" s="342">
        <f t="shared" si="6"/>
        <v>0</v>
      </c>
      <c r="P100" s="308" t="str">
        <f t="shared" ca="1" si="7"/>
        <v>-</v>
      </c>
    </row>
    <row r="101" spans="11:16" ht="15.95" customHeight="1" x14ac:dyDescent="0.25">
      <c r="K101" s="308">
        <f t="shared" ca="1" si="5"/>
        <v>0</v>
      </c>
      <c r="L101" s="342" cm="1">
        <f t="array" aca="1" ref="L101" ca="1">O101-IF(ExpTaxCount=2,SUM(M101:N101),SUM(M101:M101))</f>
        <v>0</v>
      </c>
      <c r="M101" s="342">
        <f ca="1">$O101/(1+IF(ISERROR($F101),0,IF(ISNA(MATCH($F101,TaxCode,0)),0,OFFSET(Setup!$D$23,MATCH($F101,TaxCode,0),0,1,1)))+IF(ISERROR($G101),0,IF(ISNA(MATCH($G101,TaxCode,0)),0,OFFSET(Setup!$D$23,MATCH($G101,TaxCode,0),0,1,1))))*IF(ISERROR($F101),0,IF(ISNA(MATCH($F101,TaxCode,0)),0,OFFSET(Setup!$D$23,MATCH($F101,TaxCode,0),0,1,1)))</f>
        <v>0</v>
      </c>
      <c r="N101" s="342">
        <f ca="1">$O101/(1+IF(ISERROR($F101),0,IF(ISNA(MATCH($F101,TaxCode,0)),0,OFFSET(Setup!$D$23,MATCH($F101,TaxCode,0),0,1,1)))+IF(ISERROR($G101),0,IF(ISNA(MATCH($G101,TaxCode,0)),0,OFFSET(Setup!$D$23,MATCH($G101,TaxCode,0),0,1,1))))*IF(ISERROR($G101),0,IF(ISNA(MATCH($G101,TaxCode,0)),0,OFFSET(Setup!$D$23,MATCH($G101,TaxCode,0),0,1,1)))</f>
        <v>0</v>
      </c>
      <c r="O101" s="342">
        <f t="shared" si="6"/>
        <v>0</v>
      </c>
      <c r="P101" s="308" t="str">
        <f t="shared" ca="1" si="7"/>
        <v>-</v>
      </c>
    </row>
    <row r="102" spans="11:16" ht="15.95" customHeight="1" x14ac:dyDescent="0.25">
      <c r="K102" s="308">
        <f t="shared" ca="1" si="5"/>
        <v>0</v>
      </c>
      <c r="L102" s="342" cm="1">
        <f t="array" aca="1" ref="L102" ca="1">O102-IF(ExpTaxCount=2,SUM(M102:N102),SUM(M102:M102))</f>
        <v>0</v>
      </c>
      <c r="M102" s="342">
        <f ca="1">$O102/(1+IF(ISERROR($F102),0,IF(ISNA(MATCH($F102,TaxCode,0)),0,OFFSET(Setup!$D$23,MATCH($F102,TaxCode,0),0,1,1)))+IF(ISERROR($G102),0,IF(ISNA(MATCH($G102,TaxCode,0)),0,OFFSET(Setup!$D$23,MATCH($G102,TaxCode,0),0,1,1))))*IF(ISERROR($F102),0,IF(ISNA(MATCH($F102,TaxCode,0)),0,OFFSET(Setup!$D$23,MATCH($F102,TaxCode,0),0,1,1)))</f>
        <v>0</v>
      </c>
      <c r="N102" s="342">
        <f ca="1">$O102/(1+IF(ISERROR($F102),0,IF(ISNA(MATCH($F102,TaxCode,0)),0,OFFSET(Setup!$D$23,MATCH($F102,TaxCode,0),0,1,1)))+IF(ISERROR($G102),0,IF(ISNA(MATCH($G102,TaxCode,0)),0,OFFSET(Setup!$D$23,MATCH($G102,TaxCode,0),0,1,1))))*IF(ISERROR($G102),0,IF(ISNA(MATCH($G102,TaxCode,0)),0,OFFSET(Setup!$D$23,MATCH($G102,TaxCode,0),0,1,1)))</f>
        <v>0</v>
      </c>
      <c r="O102" s="342">
        <f t="shared" si="6"/>
        <v>0</v>
      </c>
      <c r="P102" s="308" t="str">
        <f t="shared" ca="1" si="7"/>
        <v>-</v>
      </c>
    </row>
    <row r="103" spans="11:16" ht="15.95" customHeight="1" x14ac:dyDescent="0.25">
      <c r="K103" s="308">
        <f t="shared" ca="1" si="5"/>
        <v>0</v>
      </c>
      <c r="L103" s="342" cm="1">
        <f t="array" aca="1" ref="L103" ca="1">O103-IF(ExpTaxCount=2,SUM(M103:N103),SUM(M103:M103))</f>
        <v>0</v>
      </c>
      <c r="M103" s="342">
        <f ca="1">$O103/(1+IF(ISERROR($F103),0,IF(ISNA(MATCH($F103,TaxCode,0)),0,OFFSET(Setup!$D$23,MATCH($F103,TaxCode,0),0,1,1)))+IF(ISERROR($G103),0,IF(ISNA(MATCH($G103,TaxCode,0)),0,OFFSET(Setup!$D$23,MATCH($G103,TaxCode,0),0,1,1))))*IF(ISERROR($F103),0,IF(ISNA(MATCH($F103,TaxCode,0)),0,OFFSET(Setup!$D$23,MATCH($F103,TaxCode,0),0,1,1)))</f>
        <v>0</v>
      </c>
      <c r="N103" s="342">
        <f ca="1">$O103/(1+IF(ISERROR($F103),0,IF(ISNA(MATCH($F103,TaxCode,0)),0,OFFSET(Setup!$D$23,MATCH($F103,TaxCode,0),0,1,1)))+IF(ISERROR($G103),0,IF(ISNA(MATCH($G103,TaxCode,0)),0,OFFSET(Setup!$D$23,MATCH($G103,TaxCode,0),0,1,1))))*IF(ISERROR($G103),0,IF(ISNA(MATCH($G103,TaxCode,0)),0,OFFSET(Setup!$D$23,MATCH($G103,TaxCode,0),0,1,1)))</f>
        <v>0</v>
      </c>
      <c r="O103" s="342">
        <f t="shared" si="6"/>
        <v>0</v>
      </c>
      <c r="P103" s="308" t="str">
        <f t="shared" ca="1" si="7"/>
        <v>-</v>
      </c>
    </row>
    <row r="104" spans="11:16" ht="15.95" customHeight="1" x14ac:dyDescent="0.25">
      <c r="K104" s="308">
        <f t="shared" ca="1" si="5"/>
        <v>0</v>
      </c>
      <c r="L104" s="342" cm="1">
        <f t="array" aca="1" ref="L104" ca="1">O104-IF(ExpTaxCount=2,SUM(M104:N104),SUM(M104:M104))</f>
        <v>0</v>
      </c>
      <c r="M104" s="342">
        <f ca="1">$O104/(1+IF(ISERROR($F104),0,IF(ISNA(MATCH($F104,TaxCode,0)),0,OFFSET(Setup!$D$23,MATCH($F104,TaxCode,0),0,1,1)))+IF(ISERROR($G104),0,IF(ISNA(MATCH($G104,TaxCode,0)),0,OFFSET(Setup!$D$23,MATCH($G104,TaxCode,0),0,1,1))))*IF(ISERROR($F104),0,IF(ISNA(MATCH($F104,TaxCode,0)),0,OFFSET(Setup!$D$23,MATCH($F104,TaxCode,0),0,1,1)))</f>
        <v>0</v>
      </c>
      <c r="N104" s="342">
        <f ca="1">$O104/(1+IF(ISERROR($F104),0,IF(ISNA(MATCH($F104,TaxCode,0)),0,OFFSET(Setup!$D$23,MATCH($F104,TaxCode,0),0,1,1)))+IF(ISERROR($G104),0,IF(ISNA(MATCH($G104,TaxCode,0)),0,OFFSET(Setup!$D$23,MATCH($G104,TaxCode,0),0,1,1))))*IF(ISERROR($G104),0,IF(ISNA(MATCH($G104,TaxCode,0)),0,OFFSET(Setup!$D$23,MATCH($G104,TaxCode,0),0,1,1)))</f>
        <v>0</v>
      </c>
      <c r="O104" s="342">
        <f t="shared" si="6"/>
        <v>0</v>
      </c>
      <c r="P104" s="308" t="str">
        <f t="shared" ca="1" si="7"/>
        <v>-</v>
      </c>
    </row>
    <row r="105" spans="11:16" ht="15.95" customHeight="1" x14ac:dyDescent="0.25">
      <c r="K105" s="308">
        <f t="shared" ca="1" si="5"/>
        <v>0</v>
      </c>
      <c r="L105" s="342" cm="1">
        <f t="array" aca="1" ref="L105" ca="1">O105-IF(ExpTaxCount=2,SUM(M105:N105),SUM(M105:M105))</f>
        <v>0</v>
      </c>
      <c r="M105" s="342">
        <f ca="1">$O105/(1+IF(ISERROR($F105),0,IF(ISNA(MATCH($F105,TaxCode,0)),0,OFFSET(Setup!$D$23,MATCH($F105,TaxCode,0),0,1,1)))+IF(ISERROR($G105),0,IF(ISNA(MATCH($G105,TaxCode,0)),0,OFFSET(Setup!$D$23,MATCH($G105,TaxCode,0),0,1,1))))*IF(ISERROR($F105),0,IF(ISNA(MATCH($F105,TaxCode,0)),0,OFFSET(Setup!$D$23,MATCH($F105,TaxCode,0),0,1,1)))</f>
        <v>0</v>
      </c>
      <c r="N105" s="342">
        <f ca="1">$O105/(1+IF(ISERROR($F105),0,IF(ISNA(MATCH($F105,TaxCode,0)),0,OFFSET(Setup!$D$23,MATCH($F105,TaxCode,0),0,1,1)))+IF(ISERROR($G105),0,IF(ISNA(MATCH($G105,TaxCode,0)),0,OFFSET(Setup!$D$23,MATCH($G105,TaxCode,0),0,1,1))))*IF(ISERROR($G105),0,IF(ISNA(MATCH($G105,TaxCode,0)),0,OFFSET(Setup!$D$23,MATCH($G105,TaxCode,0),0,1,1)))</f>
        <v>0</v>
      </c>
      <c r="O105" s="342">
        <f t="shared" si="6"/>
        <v>0</v>
      </c>
      <c r="P105" s="308" t="str">
        <f t="shared" ca="1" si="7"/>
        <v>-</v>
      </c>
    </row>
    <row r="106" spans="11:16" ht="15.95" customHeight="1" x14ac:dyDescent="0.25">
      <c r="K106" s="308">
        <f t="shared" ca="1" si="5"/>
        <v>0</v>
      </c>
      <c r="L106" s="342" cm="1">
        <f t="array" aca="1" ref="L106" ca="1">O106-IF(ExpTaxCount=2,SUM(M106:N106),SUM(M106:M106))</f>
        <v>0</v>
      </c>
      <c r="M106" s="342">
        <f ca="1">$O106/(1+IF(ISERROR($F106),0,IF(ISNA(MATCH($F106,TaxCode,0)),0,OFFSET(Setup!$D$23,MATCH($F106,TaxCode,0),0,1,1)))+IF(ISERROR($G106),0,IF(ISNA(MATCH($G106,TaxCode,0)),0,OFFSET(Setup!$D$23,MATCH($G106,TaxCode,0),0,1,1))))*IF(ISERROR($F106),0,IF(ISNA(MATCH($F106,TaxCode,0)),0,OFFSET(Setup!$D$23,MATCH($F106,TaxCode,0),0,1,1)))</f>
        <v>0</v>
      </c>
      <c r="N106" s="342">
        <f ca="1">$O106/(1+IF(ISERROR($F106),0,IF(ISNA(MATCH($F106,TaxCode,0)),0,OFFSET(Setup!$D$23,MATCH($F106,TaxCode,0),0,1,1)))+IF(ISERROR($G106),0,IF(ISNA(MATCH($G106,TaxCode,0)),0,OFFSET(Setup!$D$23,MATCH($G106,TaxCode,0),0,1,1))))*IF(ISERROR($G106),0,IF(ISNA(MATCH($G106,TaxCode,0)),0,OFFSET(Setup!$D$23,MATCH($G106,TaxCode,0),0,1,1)))</f>
        <v>0</v>
      </c>
      <c r="O106" s="342">
        <f t="shared" si="6"/>
        <v>0</v>
      </c>
      <c r="P106" s="308" t="str">
        <f t="shared" ca="1" si="7"/>
        <v>-</v>
      </c>
    </row>
    <row r="107" spans="11:16" ht="15.95" customHeight="1" x14ac:dyDescent="0.25">
      <c r="K107" s="308">
        <f t="shared" ca="1" si="5"/>
        <v>0</v>
      </c>
      <c r="L107" s="342" cm="1">
        <f t="array" aca="1" ref="L107" ca="1">O107-IF(ExpTaxCount=2,SUM(M107:N107),SUM(M107:M107))</f>
        <v>0</v>
      </c>
      <c r="M107" s="342">
        <f ca="1">$O107/(1+IF(ISERROR($F107),0,IF(ISNA(MATCH($F107,TaxCode,0)),0,OFFSET(Setup!$D$23,MATCH($F107,TaxCode,0),0,1,1)))+IF(ISERROR($G107),0,IF(ISNA(MATCH($G107,TaxCode,0)),0,OFFSET(Setup!$D$23,MATCH($G107,TaxCode,0),0,1,1))))*IF(ISERROR($F107),0,IF(ISNA(MATCH($F107,TaxCode,0)),0,OFFSET(Setup!$D$23,MATCH($F107,TaxCode,0),0,1,1)))</f>
        <v>0</v>
      </c>
      <c r="N107" s="342">
        <f ca="1">$O107/(1+IF(ISERROR($F107),0,IF(ISNA(MATCH($F107,TaxCode,0)),0,OFFSET(Setup!$D$23,MATCH($F107,TaxCode,0),0,1,1)))+IF(ISERROR($G107),0,IF(ISNA(MATCH($G107,TaxCode,0)),0,OFFSET(Setup!$D$23,MATCH($G107,TaxCode,0),0,1,1))))*IF(ISERROR($G107),0,IF(ISNA(MATCH($G107,TaxCode,0)),0,OFFSET(Setup!$D$23,MATCH($G107,TaxCode,0),0,1,1)))</f>
        <v>0</v>
      </c>
      <c r="O107" s="342">
        <f t="shared" si="6"/>
        <v>0</v>
      </c>
      <c r="P107" s="308" t="str">
        <f t="shared" ca="1" si="7"/>
        <v>-</v>
      </c>
    </row>
    <row r="108" spans="11:16" ht="15.95" customHeight="1" x14ac:dyDescent="0.25">
      <c r="K108" s="308">
        <f t="shared" ca="1" si="5"/>
        <v>0</v>
      </c>
      <c r="L108" s="342" cm="1">
        <f t="array" aca="1" ref="L108" ca="1">O108-IF(ExpTaxCount=2,SUM(M108:N108),SUM(M108:M108))</f>
        <v>0</v>
      </c>
      <c r="M108" s="342">
        <f ca="1">$O108/(1+IF(ISERROR($F108),0,IF(ISNA(MATCH($F108,TaxCode,0)),0,OFFSET(Setup!$D$23,MATCH($F108,TaxCode,0),0,1,1)))+IF(ISERROR($G108),0,IF(ISNA(MATCH($G108,TaxCode,0)),0,OFFSET(Setup!$D$23,MATCH($G108,TaxCode,0),0,1,1))))*IF(ISERROR($F108),0,IF(ISNA(MATCH($F108,TaxCode,0)),0,OFFSET(Setup!$D$23,MATCH($F108,TaxCode,0),0,1,1)))</f>
        <v>0</v>
      </c>
      <c r="N108" s="342">
        <f ca="1">$O108/(1+IF(ISERROR($F108),0,IF(ISNA(MATCH($F108,TaxCode,0)),0,OFFSET(Setup!$D$23,MATCH($F108,TaxCode,0),0,1,1)))+IF(ISERROR($G108),0,IF(ISNA(MATCH($G108,TaxCode,0)),0,OFFSET(Setup!$D$23,MATCH($G108,TaxCode,0),0,1,1))))*IF(ISERROR($G108),0,IF(ISNA(MATCH($G108,TaxCode,0)),0,OFFSET(Setup!$D$23,MATCH($G108,TaxCode,0),0,1,1)))</f>
        <v>0</v>
      </c>
      <c r="O108" s="342">
        <f t="shared" si="6"/>
        <v>0</v>
      </c>
      <c r="P108" s="308" t="str">
        <f t="shared" ca="1" si="7"/>
        <v>-</v>
      </c>
    </row>
    <row r="109" spans="11:16" ht="15.95" customHeight="1" x14ac:dyDescent="0.25">
      <c r="K109" s="308">
        <f t="shared" ca="1" si="5"/>
        <v>0</v>
      </c>
      <c r="L109" s="342" cm="1">
        <f t="array" aca="1" ref="L109" ca="1">O109-IF(ExpTaxCount=2,SUM(M109:N109),SUM(M109:M109))</f>
        <v>0</v>
      </c>
      <c r="M109" s="342">
        <f ca="1">$O109/(1+IF(ISERROR($F109),0,IF(ISNA(MATCH($F109,TaxCode,0)),0,OFFSET(Setup!$D$23,MATCH($F109,TaxCode,0),0,1,1)))+IF(ISERROR($G109),0,IF(ISNA(MATCH($G109,TaxCode,0)),0,OFFSET(Setup!$D$23,MATCH($G109,TaxCode,0),0,1,1))))*IF(ISERROR($F109),0,IF(ISNA(MATCH($F109,TaxCode,0)),0,OFFSET(Setup!$D$23,MATCH($F109,TaxCode,0),0,1,1)))</f>
        <v>0</v>
      </c>
      <c r="N109" s="342">
        <f ca="1">$O109/(1+IF(ISERROR($F109),0,IF(ISNA(MATCH($F109,TaxCode,0)),0,OFFSET(Setup!$D$23,MATCH($F109,TaxCode,0),0,1,1)))+IF(ISERROR($G109),0,IF(ISNA(MATCH($G109,TaxCode,0)),0,OFFSET(Setup!$D$23,MATCH($G109,TaxCode,0),0,1,1))))*IF(ISERROR($G109),0,IF(ISNA(MATCH($G109,TaxCode,0)),0,OFFSET(Setup!$D$23,MATCH($G109,TaxCode,0),0,1,1)))</f>
        <v>0</v>
      </c>
      <c r="O109" s="342">
        <f t="shared" si="6"/>
        <v>0</v>
      </c>
      <c r="P109" s="308" t="str">
        <f t="shared" ca="1" si="7"/>
        <v>-</v>
      </c>
    </row>
    <row r="110" spans="11:16" ht="15.95" customHeight="1" x14ac:dyDescent="0.25">
      <c r="K110" s="308">
        <f t="shared" ca="1" si="5"/>
        <v>0</v>
      </c>
      <c r="L110" s="342" cm="1">
        <f t="array" aca="1" ref="L110" ca="1">O110-IF(ExpTaxCount=2,SUM(M110:N110),SUM(M110:M110))</f>
        <v>0</v>
      </c>
      <c r="M110" s="342">
        <f ca="1">$O110/(1+IF(ISERROR($F110),0,IF(ISNA(MATCH($F110,TaxCode,0)),0,OFFSET(Setup!$D$23,MATCH($F110,TaxCode,0),0,1,1)))+IF(ISERROR($G110),0,IF(ISNA(MATCH($G110,TaxCode,0)),0,OFFSET(Setup!$D$23,MATCH($G110,TaxCode,0),0,1,1))))*IF(ISERROR($F110),0,IF(ISNA(MATCH($F110,TaxCode,0)),0,OFFSET(Setup!$D$23,MATCH($F110,TaxCode,0),0,1,1)))</f>
        <v>0</v>
      </c>
      <c r="N110" s="342">
        <f ca="1">$O110/(1+IF(ISERROR($F110),0,IF(ISNA(MATCH($F110,TaxCode,0)),0,OFFSET(Setup!$D$23,MATCH($F110,TaxCode,0),0,1,1)))+IF(ISERROR($G110),0,IF(ISNA(MATCH($G110,TaxCode,0)),0,OFFSET(Setup!$D$23,MATCH($G110,TaxCode,0),0,1,1))))*IF(ISERROR($G110),0,IF(ISNA(MATCH($G110,TaxCode,0)),0,OFFSET(Setup!$D$23,MATCH($G110,TaxCode,0),0,1,1)))</f>
        <v>0</v>
      </c>
      <c r="O110" s="342">
        <f t="shared" si="6"/>
        <v>0</v>
      </c>
      <c r="P110" s="308" t="str">
        <f t="shared" ca="1" si="7"/>
        <v>-</v>
      </c>
    </row>
    <row r="111" spans="11:16" ht="15.95" customHeight="1" x14ac:dyDescent="0.25">
      <c r="K111" s="308">
        <f t="shared" ca="1" si="5"/>
        <v>0</v>
      </c>
      <c r="L111" s="342" cm="1">
        <f t="array" aca="1" ref="L111" ca="1">O111-IF(ExpTaxCount=2,SUM(M111:N111),SUM(M111:M111))</f>
        <v>0</v>
      </c>
      <c r="M111" s="342">
        <f ca="1">$O111/(1+IF(ISERROR($F111),0,IF(ISNA(MATCH($F111,TaxCode,0)),0,OFFSET(Setup!$D$23,MATCH($F111,TaxCode,0),0,1,1)))+IF(ISERROR($G111),0,IF(ISNA(MATCH($G111,TaxCode,0)),0,OFFSET(Setup!$D$23,MATCH($G111,TaxCode,0),0,1,1))))*IF(ISERROR($F111),0,IF(ISNA(MATCH($F111,TaxCode,0)),0,OFFSET(Setup!$D$23,MATCH($F111,TaxCode,0),0,1,1)))</f>
        <v>0</v>
      </c>
      <c r="N111" s="342">
        <f ca="1">$O111/(1+IF(ISERROR($F111),0,IF(ISNA(MATCH($F111,TaxCode,0)),0,OFFSET(Setup!$D$23,MATCH($F111,TaxCode,0),0,1,1)))+IF(ISERROR($G111),0,IF(ISNA(MATCH($G111,TaxCode,0)),0,OFFSET(Setup!$D$23,MATCH($G111,TaxCode,0),0,1,1))))*IF(ISERROR($G111),0,IF(ISNA(MATCH($G111,TaxCode,0)),0,OFFSET(Setup!$D$23,MATCH($G111,TaxCode,0),0,1,1)))</f>
        <v>0</v>
      </c>
      <c r="O111" s="342">
        <f t="shared" si="6"/>
        <v>0</v>
      </c>
      <c r="P111" s="308" t="str">
        <f t="shared" ca="1" si="7"/>
        <v>-</v>
      </c>
    </row>
    <row r="112" spans="11:16" ht="15.95" customHeight="1" x14ac:dyDescent="0.25">
      <c r="K112" s="308">
        <f t="shared" ca="1" si="5"/>
        <v>0</v>
      </c>
      <c r="L112" s="342" cm="1">
        <f t="array" aca="1" ref="L112" ca="1">O112-IF(ExpTaxCount=2,SUM(M112:N112),SUM(M112:M112))</f>
        <v>0</v>
      </c>
      <c r="M112" s="342">
        <f ca="1">$O112/(1+IF(ISERROR($F112),0,IF(ISNA(MATCH($F112,TaxCode,0)),0,OFFSET(Setup!$D$23,MATCH($F112,TaxCode,0),0,1,1)))+IF(ISERROR($G112),0,IF(ISNA(MATCH($G112,TaxCode,0)),0,OFFSET(Setup!$D$23,MATCH($G112,TaxCode,0),0,1,1))))*IF(ISERROR($F112),0,IF(ISNA(MATCH($F112,TaxCode,0)),0,OFFSET(Setup!$D$23,MATCH($F112,TaxCode,0),0,1,1)))</f>
        <v>0</v>
      </c>
      <c r="N112" s="342">
        <f ca="1">$O112/(1+IF(ISERROR($F112),0,IF(ISNA(MATCH($F112,TaxCode,0)),0,OFFSET(Setup!$D$23,MATCH($F112,TaxCode,0),0,1,1)))+IF(ISERROR($G112),0,IF(ISNA(MATCH($G112,TaxCode,0)),0,OFFSET(Setup!$D$23,MATCH($G112,TaxCode,0),0,1,1))))*IF(ISERROR($G112),0,IF(ISNA(MATCH($G112,TaxCode,0)),0,OFFSET(Setup!$D$23,MATCH($G112,TaxCode,0),0,1,1)))</f>
        <v>0</v>
      </c>
      <c r="O112" s="342">
        <f t="shared" si="6"/>
        <v>0</v>
      </c>
      <c r="P112" s="308" t="str">
        <f t="shared" ca="1" si="7"/>
        <v>-</v>
      </c>
    </row>
    <row r="113" spans="11:16" ht="15.95" customHeight="1" x14ac:dyDescent="0.25">
      <c r="K113" s="308">
        <f t="shared" ca="1" si="5"/>
        <v>0</v>
      </c>
      <c r="L113" s="342" cm="1">
        <f t="array" aca="1" ref="L113" ca="1">O113-IF(ExpTaxCount=2,SUM(M113:N113),SUM(M113:M113))</f>
        <v>0</v>
      </c>
      <c r="M113" s="342">
        <f ca="1">$O113/(1+IF(ISERROR($F113),0,IF(ISNA(MATCH($F113,TaxCode,0)),0,OFFSET(Setup!$D$23,MATCH($F113,TaxCode,0),0,1,1)))+IF(ISERROR($G113),0,IF(ISNA(MATCH($G113,TaxCode,0)),0,OFFSET(Setup!$D$23,MATCH($G113,TaxCode,0),0,1,1))))*IF(ISERROR($F113),0,IF(ISNA(MATCH($F113,TaxCode,0)),0,OFFSET(Setup!$D$23,MATCH($F113,TaxCode,0),0,1,1)))</f>
        <v>0</v>
      </c>
      <c r="N113" s="342">
        <f ca="1">$O113/(1+IF(ISERROR($F113),0,IF(ISNA(MATCH($F113,TaxCode,0)),0,OFFSET(Setup!$D$23,MATCH($F113,TaxCode,0),0,1,1)))+IF(ISERROR($G113),0,IF(ISNA(MATCH($G113,TaxCode,0)),0,OFFSET(Setup!$D$23,MATCH($G113,TaxCode,0),0,1,1))))*IF(ISERROR($G113),0,IF(ISNA(MATCH($G113,TaxCode,0)),0,OFFSET(Setup!$D$23,MATCH($G113,TaxCode,0),0,1,1)))</f>
        <v>0</v>
      </c>
      <c r="O113" s="342">
        <f t="shared" si="6"/>
        <v>0</v>
      </c>
      <c r="P113" s="308" t="str">
        <f t="shared" ca="1" si="7"/>
        <v>-</v>
      </c>
    </row>
    <row r="114" spans="11:16" ht="15.95" customHeight="1" x14ac:dyDescent="0.25">
      <c r="K114" s="308">
        <f t="shared" ca="1" si="5"/>
        <v>0</v>
      </c>
      <c r="L114" s="342" cm="1">
        <f t="array" aca="1" ref="L114" ca="1">O114-IF(ExpTaxCount=2,SUM(M114:N114),SUM(M114:M114))</f>
        <v>0</v>
      </c>
      <c r="M114" s="342">
        <f ca="1">$O114/(1+IF(ISERROR($F114),0,IF(ISNA(MATCH($F114,TaxCode,0)),0,OFFSET(Setup!$D$23,MATCH($F114,TaxCode,0),0,1,1)))+IF(ISERROR($G114),0,IF(ISNA(MATCH($G114,TaxCode,0)),0,OFFSET(Setup!$D$23,MATCH($G114,TaxCode,0),0,1,1))))*IF(ISERROR($F114),0,IF(ISNA(MATCH($F114,TaxCode,0)),0,OFFSET(Setup!$D$23,MATCH($F114,TaxCode,0),0,1,1)))</f>
        <v>0</v>
      </c>
      <c r="N114" s="342">
        <f ca="1">$O114/(1+IF(ISERROR($F114),0,IF(ISNA(MATCH($F114,TaxCode,0)),0,OFFSET(Setup!$D$23,MATCH($F114,TaxCode,0),0,1,1)))+IF(ISERROR($G114),0,IF(ISNA(MATCH($G114,TaxCode,0)),0,OFFSET(Setup!$D$23,MATCH($G114,TaxCode,0),0,1,1))))*IF(ISERROR($G114),0,IF(ISNA(MATCH($G114,TaxCode,0)),0,OFFSET(Setup!$D$23,MATCH($G114,TaxCode,0),0,1,1)))</f>
        <v>0</v>
      </c>
      <c r="O114" s="342">
        <f t="shared" si="6"/>
        <v>0</v>
      </c>
      <c r="P114" s="308" t="str">
        <f t="shared" ca="1" si="7"/>
        <v>-</v>
      </c>
    </row>
    <row r="115" spans="11:16" ht="15.95" customHeight="1" x14ac:dyDescent="0.25">
      <c r="K115" s="308">
        <f t="shared" ca="1" si="5"/>
        <v>0</v>
      </c>
      <c r="L115" s="342" cm="1">
        <f t="array" aca="1" ref="L115" ca="1">O115-IF(ExpTaxCount=2,SUM(M115:N115),SUM(M115:M115))</f>
        <v>0</v>
      </c>
      <c r="M115" s="342">
        <f ca="1">$O115/(1+IF(ISERROR($F115),0,IF(ISNA(MATCH($F115,TaxCode,0)),0,OFFSET(Setup!$D$23,MATCH($F115,TaxCode,0),0,1,1)))+IF(ISERROR($G115),0,IF(ISNA(MATCH($G115,TaxCode,0)),0,OFFSET(Setup!$D$23,MATCH($G115,TaxCode,0),0,1,1))))*IF(ISERROR($F115),0,IF(ISNA(MATCH($F115,TaxCode,0)),0,OFFSET(Setup!$D$23,MATCH($F115,TaxCode,0),0,1,1)))</f>
        <v>0</v>
      </c>
      <c r="N115" s="342">
        <f ca="1">$O115/(1+IF(ISERROR($F115),0,IF(ISNA(MATCH($F115,TaxCode,0)),0,OFFSET(Setup!$D$23,MATCH($F115,TaxCode,0),0,1,1)))+IF(ISERROR($G115),0,IF(ISNA(MATCH($G115,TaxCode,0)),0,OFFSET(Setup!$D$23,MATCH($G115,TaxCode,0),0,1,1))))*IF(ISERROR($G115),0,IF(ISNA(MATCH($G115,TaxCode,0)),0,OFFSET(Setup!$D$23,MATCH($G115,TaxCode,0),0,1,1)))</f>
        <v>0</v>
      </c>
      <c r="O115" s="342">
        <f t="shared" si="6"/>
        <v>0</v>
      </c>
      <c r="P115" s="308" t="str">
        <f t="shared" ca="1" si="7"/>
        <v>-</v>
      </c>
    </row>
    <row r="116" spans="11:16" ht="15.95" customHeight="1" x14ac:dyDescent="0.25">
      <c r="K116" s="308">
        <f t="shared" ca="1" si="5"/>
        <v>0</v>
      </c>
      <c r="L116" s="342" cm="1">
        <f t="array" aca="1" ref="L116" ca="1">O116-IF(ExpTaxCount=2,SUM(M116:N116),SUM(M116:M116))</f>
        <v>0</v>
      </c>
      <c r="M116" s="342">
        <f ca="1">$O116/(1+IF(ISERROR($F116),0,IF(ISNA(MATCH($F116,TaxCode,0)),0,OFFSET(Setup!$D$23,MATCH($F116,TaxCode,0),0,1,1)))+IF(ISERROR($G116),0,IF(ISNA(MATCH($G116,TaxCode,0)),0,OFFSET(Setup!$D$23,MATCH($G116,TaxCode,0),0,1,1))))*IF(ISERROR($F116),0,IF(ISNA(MATCH($F116,TaxCode,0)),0,OFFSET(Setup!$D$23,MATCH($F116,TaxCode,0),0,1,1)))</f>
        <v>0</v>
      </c>
      <c r="N116" s="342">
        <f ca="1">$O116/(1+IF(ISERROR($F116),0,IF(ISNA(MATCH($F116,TaxCode,0)),0,OFFSET(Setup!$D$23,MATCH($F116,TaxCode,0),0,1,1)))+IF(ISERROR($G116),0,IF(ISNA(MATCH($G116,TaxCode,0)),0,OFFSET(Setup!$D$23,MATCH($G116,TaxCode,0),0,1,1))))*IF(ISERROR($G116),0,IF(ISNA(MATCH($G116,TaxCode,0)),0,OFFSET(Setup!$D$23,MATCH($G116,TaxCode,0),0,1,1)))</f>
        <v>0</v>
      </c>
      <c r="O116" s="342">
        <f t="shared" si="6"/>
        <v>0</v>
      </c>
      <c r="P116" s="308" t="str">
        <f t="shared" ca="1" si="7"/>
        <v>-</v>
      </c>
    </row>
    <row r="117" spans="11:16" ht="15.95" customHeight="1" x14ac:dyDescent="0.25">
      <c r="K117" s="308">
        <f t="shared" ca="1" si="5"/>
        <v>0</v>
      </c>
      <c r="L117" s="342" cm="1">
        <f t="array" aca="1" ref="L117" ca="1">O117-IF(ExpTaxCount=2,SUM(M117:N117),SUM(M117:M117))</f>
        <v>0</v>
      </c>
      <c r="M117" s="342">
        <f ca="1">$O117/(1+IF(ISERROR($F117),0,IF(ISNA(MATCH($F117,TaxCode,0)),0,OFFSET(Setup!$D$23,MATCH($F117,TaxCode,0),0,1,1)))+IF(ISERROR($G117),0,IF(ISNA(MATCH($G117,TaxCode,0)),0,OFFSET(Setup!$D$23,MATCH($G117,TaxCode,0),0,1,1))))*IF(ISERROR($F117),0,IF(ISNA(MATCH($F117,TaxCode,0)),0,OFFSET(Setup!$D$23,MATCH($F117,TaxCode,0),0,1,1)))</f>
        <v>0</v>
      </c>
      <c r="N117" s="342">
        <f ca="1">$O117/(1+IF(ISERROR($F117),0,IF(ISNA(MATCH($F117,TaxCode,0)),0,OFFSET(Setup!$D$23,MATCH($F117,TaxCode,0),0,1,1)))+IF(ISERROR($G117),0,IF(ISNA(MATCH($G117,TaxCode,0)),0,OFFSET(Setup!$D$23,MATCH($G117,TaxCode,0),0,1,1))))*IF(ISERROR($G117),0,IF(ISNA(MATCH($G117,TaxCode,0)),0,OFFSET(Setup!$D$23,MATCH($G117,TaxCode,0),0,1,1)))</f>
        <v>0</v>
      </c>
      <c r="O117" s="342">
        <f t="shared" si="6"/>
        <v>0</v>
      </c>
      <c r="P117" s="308" t="str">
        <f t="shared" ca="1" si="7"/>
        <v>-</v>
      </c>
    </row>
    <row r="118" spans="11:16" ht="15.95" customHeight="1" x14ac:dyDescent="0.25">
      <c r="K118" s="308">
        <f t="shared" ca="1" si="5"/>
        <v>0</v>
      </c>
      <c r="L118" s="342" cm="1">
        <f t="array" aca="1" ref="L118" ca="1">O118-IF(ExpTaxCount=2,SUM(M118:N118),SUM(M118:M118))</f>
        <v>0</v>
      </c>
      <c r="M118" s="342">
        <f ca="1">$O118/(1+IF(ISERROR($F118),0,IF(ISNA(MATCH($F118,TaxCode,0)),0,OFFSET(Setup!$D$23,MATCH($F118,TaxCode,0),0,1,1)))+IF(ISERROR($G118),0,IF(ISNA(MATCH($G118,TaxCode,0)),0,OFFSET(Setup!$D$23,MATCH($G118,TaxCode,0),0,1,1))))*IF(ISERROR($F118),0,IF(ISNA(MATCH($F118,TaxCode,0)),0,OFFSET(Setup!$D$23,MATCH($F118,TaxCode,0),0,1,1)))</f>
        <v>0</v>
      </c>
      <c r="N118" s="342">
        <f ca="1">$O118/(1+IF(ISERROR($F118),0,IF(ISNA(MATCH($F118,TaxCode,0)),0,OFFSET(Setup!$D$23,MATCH($F118,TaxCode,0),0,1,1)))+IF(ISERROR($G118),0,IF(ISNA(MATCH($G118,TaxCode,0)),0,OFFSET(Setup!$D$23,MATCH($G118,TaxCode,0),0,1,1))))*IF(ISERROR($G118),0,IF(ISNA(MATCH($G118,TaxCode,0)),0,OFFSET(Setup!$D$23,MATCH($G118,TaxCode,0),0,1,1)))</f>
        <v>0</v>
      </c>
      <c r="O118" s="342">
        <f t="shared" si="6"/>
        <v>0</v>
      </c>
      <c r="P118" s="308" t="str">
        <f t="shared" ca="1" si="7"/>
        <v>-</v>
      </c>
    </row>
    <row r="119" spans="11:16" ht="15.95" customHeight="1" x14ac:dyDescent="0.25">
      <c r="K119" s="308">
        <f t="shared" ca="1" si="5"/>
        <v>0</v>
      </c>
      <c r="L119" s="342" cm="1">
        <f t="array" aca="1" ref="L119" ca="1">O119-IF(ExpTaxCount=2,SUM(M119:N119),SUM(M119:M119))</f>
        <v>0</v>
      </c>
      <c r="M119" s="342">
        <f ca="1">$O119/(1+IF(ISERROR($F119),0,IF(ISNA(MATCH($F119,TaxCode,0)),0,OFFSET(Setup!$D$23,MATCH($F119,TaxCode,0),0,1,1)))+IF(ISERROR($G119),0,IF(ISNA(MATCH($G119,TaxCode,0)),0,OFFSET(Setup!$D$23,MATCH($G119,TaxCode,0),0,1,1))))*IF(ISERROR($F119),0,IF(ISNA(MATCH($F119,TaxCode,0)),0,OFFSET(Setup!$D$23,MATCH($F119,TaxCode,0),0,1,1)))</f>
        <v>0</v>
      </c>
      <c r="N119" s="342">
        <f ca="1">$O119/(1+IF(ISERROR($F119),0,IF(ISNA(MATCH($F119,TaxCode,0)),0,OFFSET(Setup!$D$23,MATCH($F119,TaxCode,0),0,1,1)))+IF(ISERROR($G119),0,IF(ISNA(MATCH($G119,TaxCode,0)),0,OFFSET(Setup!$D$23,MATCH($G119,TaxCode,0),0,1,1))))*IF(ISERROR($G119),0,IF(ISNA(MATCH($G119,TaxCode,0)),0,OFFSET(Setup!$D$23,MATCH($G119,TaxCode,0),0,1,1)))</f>
        <v>0</v>
      </c>
      <c r="O119" s="342">
        <f t="shared" si="6"/>
        <v>0</v>
      </c>
      <c r="P119" s="308" t="str">
        <f t="shared" ca="1" si="7"/>
        <v>-</v>
      </c>
    </row>
    <row r="120" spans="11:16" ht="15.95" customHeight="1" x14ac:dyDescent="0.25">
      <c r="K120" s="308">
        <f t="shared" ca="1" si="5"/>
        <v>0</v>
      </c>
      <c r="L120" s="342" cm="1">
        <f t="array" aca="1" ref="L120" ca="1">O120-IF(ExpTaxCount=2,SUM(M120:N120),SUM(M120:M120))</f>
        <v>0</v>
      </c>
      <c r="M120" s="342">
        <f ca="1">$O120/(1+IF(ISERROR($F120),0,IF(ISNA(MATCH($F120,TaxCode,0)),0,OFFSET(Setup!$D$23,MATCH($F120,TaxCode,0),0,1,1)))+IF(ISERROR($G120),0,IF(ISNA(MATCH($G120,TaxCode,0)),0,OFFSET(Setup!$D$23,MATCH($G120,TaxCode,0),0,1,1))))*IF(ISERROR($F120),0,IF(ISNA(MATCH($F120,TaxCode,0)),0,OFFSET(Setup!$D$23,MATCH($F120,TaxCode,0),0,1,1)))</f>
        <v>0</v>
      </c>
      <c r="N120" s="342">
        <f ca="1">$O120/(1+IF(ISERROR($F120),0,IF(ISNA(MATCH($F120,TaxCode,0)),0,OFFSET(Setup!$D$23,MATCH($F120,TaxCode,0),0,1,1)))+IF(ISERROR($G120),0,IF(ISNA(MATCH($G120,TaxCode,0)),0,OFFSET(Setup!$D$23,MATCH($G120,TaxCode,0),0,1,1))))*IF(ISERROR($G120),0,IF(ISNA(MATCH($G120,TaxCode,0)),0,OFFSET(Setup!$D$23,MATCH($G120,TaxCode,0),0,1,1)))</f>
        <v>0</v>
      </c>
      <c r="O120" s="342">
        <f t="shared" si="6"/>
        <v>0</v>
      </c>
      <c r="P120" s="308" t="str">
        <f t="shared" ca="1" si="7"/>
        <v>-</v>
      </c>
    </row>
    <row r="121" spans="11:16" ht="15.95" customHeight="1" x14ac:dyDescent="0.25">
      <c r="K121" s="308">
        <f t="shared" ca="1" si="5"/>
        <v>0</v>
      </c>
      <c r="L121" s="342" cm="1">
        <f t="array" aca="1" ref="L121" ca="1">O121-IF(ExpTaxCount=2,SUM(M121:N121),SUM(M121:M121))</f>
        <v>0</v>
      </c>
      <c r="M121" s="342">
        <f ca="1">$O121/(1+IF(ISERROR($F121),0,IF(ISNA(MATCH($F121,TaxCode,0)),0,OFFSET(Setup!$D$23,MATCH($F121,TaxCode,0),0,1,1)))+IF(ISERROR($G121),0,IF(ISNA(MATCH($G121,TaxCode,0)),0,OFFSET(Setup!$D$23,MATCH($G121,TaxCode,0),0,1,1))))*IF(ISERROR($F121),0,IF(ISNA(MATCH($F121,TaxCode,0)),0,OFFSET(Setup!$D$23,MATCH($F121,TaxCode,0),0,1,1)))</f>
        <v>0</v>
      </c>
      <c r="N121" s="342">
        <f ca="1">$O121/(1+IF(ISERROR($F121),0,IF(ISNA(MATCH($F121,TaxCode,0)),0,OFFSET(Setup!$D$23,MATCH($F121,TaxCode,0),0,1,1)))+IF(ISERROR($G121),0,IF(ISNA(MATCH($G121,TaxCode,0)),0,OFFSET(Setup!$D$23,MATCH($G121,TaxCode,0),0,1,1))))*IF(ISERROR($G121),0,IF(ISNA(MATCH($G121,TaxCode,0)),0,OFFSET(Setup!$D$23,MATCH($G121,TaxCode,0),0,1,1)))</f>
        <v>0</v>
      </c>
      <c r="O121" s="342">
        <f t="shared" si="6"/>
        <v>0</v>
      </c>
      <c r="P121" s="308" t="str">
        <f t="shared" ca="1" si="7"/>
        <v>-</v>
      </c>
    </row>
    <row r="122" spans="11:16" ht="15.95" customHeight="1" x14ac:dyDescent="0.25">
      <c r="K122" s="308">
        <f t="shared" ca="1" si="5"/>
        <v>0</v>
      </c>
      <c r="L122" s="342" cm="1">
        <f t="array" aca="1" ref="L122" ca="1">O122-IF(ExpTaxCount=2,SUM(M122:N122),SUM(M122:M122))</f>
        <v>0</v>
      </c>
      <c r="M122" s="342">
        <f ca="1">$O122/(1+IF(ISERROR($F122),0,IF(ISNA(MATCH($F122,TaxCode,0)),0,OFFSET(Setup!$D$23,MATCH($F122,TaxCode,0),0,1,1)))+IF(ISERROR($G122),0,IF(ISNA(MATCH($G122,TaxCode,0)),0,OFFSET(Setup!$D$23,MATCH($G122,TaxCode,0),0,1,1))))*IF(ISERROR($F122),0,IF(ISNA(MATCH($F122,TaxCode,0)),0,OFFSET(Setup!$D$23,MATCH($F122,TaxCode,0),0,1,1)))</f>
        <v>0</v>
      </c>
      <c r="N122" s="342">
        <f ca="1">$O122/(1+IF(ISERROR($F122),0,IF(ISNA(MATCH($F122,TaxCode,0)),0,OFFSET(Setup!$D$23,MATCH($F122,TaxCode,0),0,1,1)))+IF(ISERROR($G122),0,IF(ISNA(MATCH($G122,TaxCode,0)),0,OFFSET(Setup!$D$23,MATCH($G122,TaxCode,0),0,1,1))))*IF(ISERROR($G122),0,IF(ISNA(MATCH($G122,TaxCode,0)),0,OFFSET(Setup!$D$23,MATCH($G122,TaxCode,0),0,1,1)))</f>
        <v>0</v>
      </c>
      <c r="O122" s="342">
        <f t="shared" si="6"/>
        <v>0</v>
      </c>
      <c r="P122" s="308" t="str">
        <f t="shared" ca="1" si="7"/>
        <v>-</v>
      </c>
    </row>
    <row r="123" spans="11:16" ht="15.95" customHeight="1" x14ac:dyDescent="0.25">
      <c r="K123" s="308">
        <f t="shared" ca="1" si="5"/>
        <v>0</v>
      </c>
      <c r="L123" s="342" cm="1">
        <f t="array" aca="1" ref="L123" ca="1">O123-IF(ExpTaxCount=2,SUM(M123:N123),SUM(M123:M123))</f>
        <v>0</v>
      </c>
      <c r="M123" s="342">
        <f ca="1">$O123/(1+IF(ISERROR($F123),0,IF(ISNA(MATCH($F123,TaxCode,0)),0,OFFSET(Setup!$D$23,MATCH($F123,TaxCode,0),0,1,1)))+IF(ISERROR($G123),0,IF(ISNA(MATCH($G123,TaxCode,0)),0,OFFSET(Setup!$D$23,MATCH($G123,TaxCode,0),0,1,1))))*IF(ISERROR($F123),0,IF(ISNA(MATCH($F123,TaxCode,0)),0,OFFSET(Setup!$D$23,MATCH($F123,TaxCode,0),0,1,1)))</f>
        <v>0</v>
      </c>
      <c r="N123" s="342">
        <f ca="1">$O123/(1+IF(ISERROR($F123),0,IF(ISNA(MATCH($F123,TaxCode,0)),0,OFFSET(Setup!$D$23,MATCH($F123,TaxCode,0),0,1,1)))+IF(ISERROR($G123),0,IF(ISNA(MATCH($G123,TaxCode,0)),0,OFFSET(Setup!$D$23,MATCH($G123,TaxCode,0),0,1,1))))*IF(ISERROR($G123),0,IF(ISNA(MATCH($G123,TaxCode,0)),0,OFFSET(Setup!$D$23,MATCH($G123,TaxCode,0),0,1,1)))</f>
        <v>0</v>
      </c>
      <c r="O123" s="342">
        <f t="shared" si="6"/>
        <v>0</v>
      </c>
      <c r="P123" s="308" t="str">
        <f t="shared" ca="1" si="7"/>
        <v>-</v>
      </c>
    </row>
    <row r="124" spans="11:16" ht="15.95" customHeight="1" x14ac:dyDescent="0.25">
      <c r="K124" s="308">
        <f t="shared" ca="1" si="5"/>
        <v>0</v>
      </c>
      <c r="L124" s="342" cm="1">
        <f t="array" aca="1" ref="L124" ca="1">O124-IF(ExpTaxCount=2,SUM(M124:N124),SUM(M124:M124))</f>
        <v>0</v>
      </c>
      <c r="M124" s="342">
        <f ca="1">$O124/(1+IF(ISERROR($F124),0,IF(ISNA(MATCH($F124,TaxCode,0)),0,OFFSET(Setup!$D$23,MATCH($F124,TaxCode,0),0,1,1)))+IF(ISERROR($G124),0,IF(ISNA(MATCH($G124,TaxCode,0)),0,OFFSET(Setup!$D$23,MATCH($G124,TaxCode,0),0,1,1))))*IF(ISERROR($F124),0,IF(ISNA(MATCH($F124,TaxCode,0)),0,OFFSET(Setup!$D$23,MATCH($F124,TaxCode,0),0,1,1)))</f>
        <v>0</v>
      </c>
      <c r="N124" s="342">
        <f ca="1">$O124/(1+IF(ISERROR($F124),0,IF(ISNA(MATCH($F124,TaxCode,0)),0,OFFSET(Setup!$D$23,MATCH($F124,TaxCode,0),0,1,1)))+IF(ISERROR($G124),0,IF(ISNA(MATCH($G124,TaxCode,0)),0,OFFSET(Setup!$D$23,MATCH($G124,TaxCode,0),0,1,1))))*IF(ISERROR($G124),0,IF(ISNA(MATCH($G124,TaxCode,0)),0,OFFSET(Setup!$D$23,MATCH($G124,TaxCode,0),0,1,1)))</f>
        <v>0</v>
      </c>
      <c r="O124" s="342">
        <f t="shared" si="6"/>
        <v>0</v>
      </c>
      <c r="P124" s="308" t="str">
        <f t="shared" ca="1" si="7"/>
        <v>-</v>
      </c>
    </row>
    <row r="125" spans="11:16" ht="15.95" customHeight="1" x14ac:dyDescent="0.25">
      <c r="K125" s="308">
        <f t="shared" ca="1" si="5"/>
        <v>0</v>
      </c>
      <c r="L125" s="342" cm="1">
        <f t="array" aca="1" ref="L125" ca="1">O125-IF(ExpTaxCount=2,SUM(M125:N125),SUM(M125:M125))</f>
        <v>0</v>
      </c>
      <c r="M125" s="342">
        <f ca="1">$O125/(1+IF(ISERROR($F125),0,IF(ISNA(MATCH($F125,TaxCode,0)),0,OFFSET(Setup!$D$23,MATCH($F125,TaxCode,0),0,1,1)))+IF(ISERROR($G125),0,IF(ISNA(MATCH($G125,TaxCode,0)),0,OFFSET(Setup!$D$23,MATCH($G125,TaxCode,0),0,1,1))))*IF(ISERROR($F125),0,IF(ISNA(MATCH($F125,TaxCode,0)),0,OFFSET(Setup!$D$23,MATCH($F125,TaxCode,0),0,1,1)))</f>
        <v>0</v>
      </c>
      <c r="N125" s="342">
        <f ca="1">$O125/(1+IF(ISERROR($F125),0,IF(ISNA(MATCH($F125,TaxCode,0)),0,OFFSET(Setup!$D$23,MATCH($F125,TaxCode,0),0,1,1)))+IF(ISERROR($G125),0,IF(ISNA(MATCH($G125,TaxCode,0)),0,OFFSET(Setup!$D$23,MATCH($G125,TaxCode,0),0,1,1))))*IF(ISERROR($G125),0,IF(ISNA(MATCH($G125,TaxCode,0)),0,OFFSET(Setup!$D$23,MATCH($G125,TaxCode,0),0,1,1)))</f>
        <v>0</v>
      </c>
      <c r="O125" s="342">
        <f t="shared" si="6"/>
        <v>0</v>
      </c>
      <c r="P125" s="308" t="str">
        <f t="shared" ca="1" si="7"/>
        <v>-</v>
      </c>
    </row>
    <row r="126" spans="11:16" ht="15.95" customHeight="1" x14ac:dyDescent="0.25">
      <c r="K126" s="308">
        <f t="shared" ca="1" si="5"/>
        <v>0</v>
      </c>
      <c r="L126" s="342" cm="1">
        <f t="array" aca="1" ref="L126" ca="1">O126-IF(ExpTaxCount=2,SUM(M126:N126),SUM(M126:M126))</f>
        <v>0</v>
      </c>
      <c r="M126" s="342">
        <f ca="1">$O126/(1+IF(ISERROR($F126),0,IF(ISNA(MATCH($F126,TaxCode,0)),0,OFFSET(Setup!$D$23,MATCH($F126,TaxCode,0),0,1,1)))+IF(ISERROR($G126),0,IF(ISNA(MATCH($G126,TaxCode,0)),0,OFFSET(Setup!$D$23,MATCH($G126,TaxCode,0),0,1,1))))*IF(ISERROR($F126),0,IF(ISNA(MATCH($F126,TaxCode,0)),0,OFFSET(Setup!$D$23,MATCH($F126,TaxCode,0),0,1,1)))</f>
        <v>0</v>
      </c>
      <c r="N126" s="342">
        <f ca="1">$O126/(1+IF(ISERROR($F126),0,IF(ISNA(MATCH($F126,TaxCode,0)),0,OFFSET(Setup!$D$23,MATCH($F126,TaxCode,0),0,1,1)))+IF(ISERROR($G126),0,IF(ISNA(MATCH($G126,TaxCode,0)),0,OFFSET(Setup!$D$23,MATCH($G126,TaxCode,0),0,1,1))))*IF(ISERROR($G126),0,IF(ISNA(MATCH($G126,TaxCode,0)),0,OFFSET(Setup!$D$23,MATCH($G126,TaxCode,0),0,1,1)))</f>
        <v>0</v>
      </c>
      <c r="O126" s="342">
        <f t="shared" si="6"/>
        <v>0</v>
      </c>
      <c r="P126" s="308" t="str">
        <f t="shared" ca="1" si="7"/>
        <v>-</v>
      </c>
    </row>
    <row r="127" spans="11:16" ht="15.95" customHeight="1" x14ac:dyDescent="0.25">
      <c r="K127" s="308">
        <f t="shared" ca="1" si="5"/>
        <v>0</v>
      </c>
      <c r="L127" s="342" cm="1">
        <f t="array" aca="1" ref="L127" ca="1">O127-IF(ExpTaxCount=2,SUM(M127:N127),SUM(M127:M127))</f>
        <v>0</v>
      </c>
      <c r="M127" s="342">
        <f ca="1">$O127/(1+IF(ISERROR($F127),0,IF(ISNA(MATCH($F127,TaxCode,0)),0,OFFSET(Setup!$D$23,MATCH($F127,TaxCode,0),0,1,1)))+IF(ISERROR($G127),0,IF(ISNA(MATCH($G127,TaxCode,0)),0,OFFSET(Setup!$D$23,MATCH($G127,TaxCode,0),0,1,1))))*IF(ISERROR($F127),0,IF(ISNA(MATCH($F127,TaxCode,0)),0,OFFSET(Setup!$D$23,MATCH($F127,TaxCode,0),0,1,1)))</f>
        <v>0</v>
      </c>
      <c r="N127" s="342">
        <f ca="1">$O127/(1+IF(ISERROR($F127),0,IF(ISNA(MATCH($F127,TaxCode,0)),0,OFFSET(Setup!$D$23,MATCH($F127,TaxCode,0),0,1,1)))+IF(ISERROR($G127),0,IF(ISNA(MATCH($G127,TaxCode,0)),0,OFFSET(Setup!$D$23,MATCH($G127,TaxCode,0),0,1,1))))*IF(ISERROR($G127),0,IF(ISNA(MATCH($G127,TaxCode,0)),0,OFFSET(Setup!$D$23,MATCH($G127,TaxCode,0),0,1,1)))</f>
        <v>0</v>
      </c>
      <c r="O127" s="342">
        <f t="shared" si="6"/>
        <v>0</v>
      </c>
      <c r="P127" s="308" t="str">
        <f t="shared" ca="1" si="7"/>
        <v>-</v>
      </c>
    </row>
    <row r="128" spans="11:16" ht="15.95" customHeight="1" x14ac:dyDescent="0.25">
      <c r="K128" s="308">
        <f t="shared" ca="1" si="5"/>
        <v>0</v>
      </c>
      <c r="L128" s="342" cm="1">
        <f t="array" aca="1" ref="L128" ca="1">O128-IF(ExpTaxCount=2,SUM(M128:N128),SUM(M128:M128))</f>
        <v>0</v>
      </c>
      <c r="M128" s="342">
        <f ca="1">$O128/(1+IF(ISERROR($F128),0,IF(ISNA(MATCH($F128,TaxCode,0)),0,OFFSET(Setup!$D$23,MATCH($F128,TaxCode,0),0,1,1)))+IF(ISERROR($G128),0,IF(ISNA(MATCH($G128,TaxCode,0)),0,OFFSET(Setup!$D$23,MATCH($G128,TaxCode,0),0,1,1))))*IF(ISERROR($F128),0,IF(ISNA(MATCH($F128,TaxCode,0)),0,OFFSET(Setup!$D$23,MATCH($F128,TaxCode,0),0,1,1)))</f>
        <v>0</v>
      </c>
      <c r="N128" s="342">
        <f ca="1">$O128/(1+IF(ISERROR($F128),0,IF(ISNA(MATCH($F128,TaxCode,0)),0,OFFSET(Setup!$D$23,MATCH($F128,TaxCode,0),0,1,1)))+IF(ISERROR($G128),0,IF(ISNA(MATCH($G128,TaxCode,0)),0,OFFSET(Setup!$D$23,MATCH($G128,TaxCode,0),0,1,1))))*IF(ISERROR($G128),0,IF(ISNA(MATCH($G128,TaxCode,0)),0,OFFSET(Setup!$D$23,MATCH($G128,TaxCode,0),0,1,1)))</f>
        <v>0</v>
      </c>
      <c r="O128" s="342">
        <f t="shared" si="6"/>
        <v>0</v>
      </c>
      <c r="P128" s="308" t="str">
        <f t="shared" ca="1" si="7"/>
        <v>-</v>
      </c>
    </row>
    <row r="129" spans="11:16" ht="15.95" customHeight="1" x14ac:dyDescent="0.25">
      <c r="K129" s="308">
        <f t="shared" ca="1" si="5"/>
        <v>0</v>
      </c>
      <c r="L129" s="342" cm="1">
        <f t="array" aca="1" ref="L129" ca="1">O129-IF(ExpTaxCount=2,SUM(M129:N129),SUM(M129:M129))</f>
        <v>0</v>
      </c>
      <c r="M129" s="342">
        <f ca="1">$O129/(1+IF(ISERROR($F129),0,IF(ISNA(MATCH($F129,TaxCode,0)),0,OFFSET(Setup!$D$23,MATCH($F129,TaxCode,0),0,1,1)))+IF(ISERROR($G129),0,IF(ISNA(MATCH($G129,TaxCode,0)),0,OFFSET(Setup!$D$23,MATCH($G129,TaxCode,0),0,1,1))))*IF(ISERROR($F129),0,IF(ISNA(MATCH($F129,TaxCode,0)),0,OFFSET(Setup!$D$23,MATCH($F129,TaxCode,0),0,1,1)))</f>
        <v>0</v>
      </c>
      <c r="N129" s="342">
        <f ca="1">$O129/(1+IF(ISERROR($F129),0,IF(ISNA(MATCH($F129,TaxCode,0)),0,OFFSET(Setup!$D$23,MATCH($F129,TaxCode,0),0,1,1)))+IF(ISERROR($G129),0,IF(ISNA(MATCH($G129,TaxCode,0)),0,OFFSET(Setup!$D$23,MATCH($G129,TaxCode,0),0,1,1))))*IF(ISERROR($G129),0,IF(ISNA(MATCH($G129,TaxCode,0)),0,OFFSET(Setup!$D$23,MATCH($G129,TaxCode,0),0,1,1)))</f>
        <v>0</v>
      </c>
      <c r="O129" s="342">
        <f t="shared" si="6"/>
        <v>0</v>
      </c>
      <c r="P129" s="308" t="str">
        <f t="shared" ca="1" si="7"/>
        <v>-</v>
      </c>
    </row>
    <row r="130" spans="11:16" ht="15.95" customHeight="1" x14ac:dyDescent="0.25">
      <c r="K130" s="308">
        <f t="shared" ca="1" si="5"/>
        <v>0</v>
      </c>
      <c r="L130" s="342" cm="1">
        <f t="array" aca="1" ref="L130" ca="1">O130-IF(ExpTaxCount=2,SUM(M130:N130),SUM(M130:M130))</f>
        <v>0</v>
      </c>
      <c r="M130" s="342">
        <f ca="1">$O130/(1+IF(ISERROR($F130),0,IF(ISNA(MATCH($F130,TaxCode,0)),0,OFFSET(Setup!$D$23,MATCH($F130,TaxCode,0),0,1,1)))+IF(ISERROR($G130),0,IF(ISNA(MATCH($G130,TaxCode,0)),0,OFFSET(Setup!$D$23,MATCH($G130,TaxCode,0),0,1,1))))*IF(ISERROR($F130),0,IF(ISNA(MATCH($F130,TaxCode,0)),0,OFFSET(Setup!$D$23,MATCH($F130,TaxCode,0),0,1,1)))</f>
        <v>0</v>
      </c>
      <c r="N130" s="342">
        <f ca="1">$O130/(1+IF(ISERROR($F130),0,IF(ISNA(MATCH($F130,TaxCode,0)),0,OFFSET(Setup!$D$23,MATCH($F130,TaxCode,0),0,1,1)))+IF(ISERROR($G130),0,IF(ISNA(MATCH($G130,TaxCode,0)),0,OFFSET(Setup!$D$23,MATCH($G130,TaxCode,0),0,1,1))))*IF(ISERROR($G130),0,IF(ISNA(MATCH($G130,TaxCode,0)),0,OFFSET(Setup!$D$23,MATCH($G130,TaxCode,0),0,1,1)))</f>
        <v>0</v>
      </c>
      <c r="O130" s="342">
        <f t="shared" si="6"/>
        <v>0</v>
      </c>
      <c r="P130" s="308" t="str">
        <f t="shared" ca="1" si="7"/>
        <v>-</v>
      </c>
    </row>
    <row r="131" spans="11:16" ht="15.95" customHeight="1" x14ac:dyDescent="0.25">
      <c r="K131" s="308">
        <f t="shared" ca="1" si="5"/>
        <v>0</v>
      </c>
      <c r="L131" s="342" cm="1">
        <f t="array" aca="1" ref="L131" ca="1">O131-IF(ExpTaxCount=2,SUM(M131:N131),SUM(M131:M131))</f>
        <v>0</v>
      </c>
      <c r="M131" s="342">
        <f ca="1">$O131/(1+IF(ISERROR($F131),0,IF(ISNA(MATCH($F131,TaxCode,0)),0,OFFSET(Setup!$D$23,MATCH($F131,TaxCode,0),0,1,1)))+IF(ISERROR($G131),0,IF(ISNA(MATCH($G131,TaxCode,0)),0,OFFSET(Setup!$D$23,MATCH($G131,TaxCode,0),0,1,1))))*IF(ISERROR($F131),0,IF(ISNA(MATCH($F131,TaxCode,0)),0,OFFSET(Setup!$D$23,MATCH($F131,TaxCode,0),0,1,1)))</f>
        <v>0</v>
      </c>
      <c r="N131" s="342">
        <f ca="1">$O131/(1+IF(ISERROR($F131),0,IF(ISNA(MATCH($F131,TaxCode,0)),0,OFFSET(Setup!$D$23,MATCH($F131,TaxCode,0),0,1,1)))+IF(ISERROR($G131),0,IF(ISNA(MATCH($G131,TaxCode,0)),0,OFFSET(Setup!$D$23,MATCH($G131,TaxCode,0),0,1,1))))*IF(ISERROR($G131),0,IF(ISNA(MATCH($G131,TaxCode,0)),0,OFFSET(Setup!$D$23,MATCH($G131,TaxCode,0),0,1,1)))</f>
        <v>0</v>
      </c>
      <c r="O131" s="342">
        <f t="shared" si="6"/>
        <v>0</v>
      </c>
      <c r="P131" s="308" t="str">
        <f t="shared" ca="1" si="7"/>
        <v>-</v>
      </c>
    </row>
    <row r="132" spans="11:16" ht="15.95" customHeight="1" x14ac:dyDescent="0.25">
      <c r="K132" s="308">
        <f t="shared" ca="1" si="5"/>
        <v>0</v>
      </c>
      <c r="L132" s="342" cm="1">
        <f t="array" aca="1" ref="L132" ca="1">O132-IF(ExpTaxCount=2,SUM(M132:N132),SUM(M132:M132))</f>
        <v>0</v>
      </c>
      <c r="M132" s="342">
        <f ca="1">$O132/(1+IF(ISERROR($F132),0,IF(ISNA(MATCH($F132,TaxCode,0)),0,OFFSET(Setup!$D$23,MATCH($F132,TaxCode,0),0,1,1)))+IF(ISERROR($G132),0,IF(ISNA(MATCH($G132,TaxCode,0)),0,OFFSET(Setup!$D$23,MATCH($G132,TaxCode,0),0,1,1))))*IF(ISERROR($F132),0,IF(ISNA(MATCH($F132,TaxCode,0)),0,OFFSET(Setup!$D$23,MATCH($F132,TaxCode,0),0,1,1)))</f>
        <v>0</v>
      </c>
      <c r="N132" s="342">
        <f ca="1">$O132/(1+IF(ISERROR($F132),0,IF(ISNA(MATCH($F132,TaxCode,0)),0,OFFSET(Setup!$D$23,MATCH($F132,TaxCode,0),0,1,1)))+IF(ISERROR($G132),0,IF(ISNA(MATCH($G132,TaxCode,0)),0,OFFSET(Setup!$D$23,MATCH($G132,TaxCode,0),0,1,1))))*IF(ISERROR($G132),0,IF(ISNA(MATCH($G132,TaxCode,0)),0,OFFSET(Setup!$D$23,MATCH($G132,TaxCode,0),0,1,1)))</f>
        <v>0</v>
      </c>
      <c r="O132" s="342">
        <f t="shared" si="6"/>
        <v>0</v>
      </c>
      <c r="P132" s="308" t="str">
        <f t="shared" ca="1" si="7"/>
        <v>-</v>
      </c>
    </row>
    <row r="133" spans="11:16" ht="15.95" customHeight="1" x14ac:dyDescent="0.25">
      <c r="K133" s="308">
        <f t="shared" ca="1" si="5"/>
        <v>0</v>
      </c>
      <c r="L133" s="342" cm="1">
        <f t="array" aca="1" ref="L133" ca="1">O133-IF(ExpTaxCount=2,SUM(M133:N133),SUM(M133:M133))</f>
        <v>0</v>
      </c>
      <c r="M133" s="342">
        <f ca="1">$O133/(1+IF(ISERROR($F133),0,IF(ISNA(MATCH($F133,TaxCode,0)),0,OFFSET(Setup!$D$23,MATCH($F133,TaxCode,0),0,1,1)))+IF(ISERROR($G133),0,IF(ISNA(MATCH($G133,TaxCode,0)),0,OFFSET(Setup!$D$23,MATCH($G133,TaxCode,0),0,1,1))))*IF(ISERROR($F133),0,IF(ISNA(MATCH($F133,TaxCode,0)),0,OFFSET(Setup!$D$23,MATCH($F133,TaxCode,0),0,1,1)))</f>
        <v>0</v>
      </c>
      <c r="N133" s="342">
        <f ca="1">$O133/(1+IF(ISERROR($F133),0,IF(ISNA(MATCH($F133,TaxCode,0)),0,OFFSET(Setup!$D$23,MATCH($F133,TaxCode,0),0,1,1)))+IF(ISERROR($G133),0,IF(ISNA(MATCH($G133,TaxCode,0)),0,OFFSET(Setup!$D$23,MATCH($G133,TaxCode,0),0,1,1))))*IF(ISERROR($G133),0,IF(ISNA(MATCH($G133,TaxCode,0)),0,OFFSET(Setup!$D$23,MATCH($G133,TaxCode,0),0,1,1)))</f>
        <v>0</v>
      </c>
      <c r="O133" s="342">
        <f t="shared" si="6"/>
        <v>0</v>
      </c>
      <c r="P133" s="308" t="str">
        <f t="shared" ca="1" si="7"/>
        <v>-</v>
      </c>
    </row>
    <row r="134" spans="11:16" ht="15.95" customHeight="1" x14ac:dyDescent="0.25">
      <c r="K134" s="308">
        <f t="shared" ca="1" si="5"/>
        <v>0</v>
      </c>
      <c r="L134" s="342" cm="1">
        <f t="array" aca="1" ref="L134" ca="1">O134-IF(ExpTaxCount=2,SUM(M134:N134),SUM(M134:M134))</f>
        <v>0</v>
      </c>
      <c r="M134" s="342">
        <f ca="1">$O134/(1+IF(ISERROR($F134),0,IF(ISNA(MATCH($F134,TaxCode,0)),0,OFFSET(Setup!$D$23,MATCH($F134,TaxCode,0),0,1,1)))+IF(ISERROR($G134),0,IF(ISNA(MATCH($G134,TaxCode,0)),0,OFFSET(Setup!$D$23,MATCH($G134,TaxCode,0),0,1,1))))*IF(ISERROR($F134),0,IF(ISNA(MATCH($F134,TaxCode,0)),0,OFFSET(Setup!$D$23,MATCH($F134,TaxCode,0),0,1,1)))</f>
        <v>0</v>
      </c>
      <c r="N134" s="342">
        <f ca="1">$O134/(1+IF(ISERROR($F134),0,IF(ISNA(MATCH($F134,TaxCode,0)),0,OFFSET(Setup!$D$23,MATCH($F134,TaxCode,0),0,1,1)))+IF(ISERROR($G134),0,IF(ISNA(MATCH($G134,TaxCode,0)),0,OFFSET(Setup!$D$23,MATCH($G134,TaxCode,0),0,1,1))))*IF(ISERROR($G134),0,IF(ISNA(MATCH($G134,TaxCode,0)),0,OFFSET(Setup!$D$23,MATCH($G134,TaxCode,0),0,1,1)))</f>
        <v>0</v>
      </c>
      <c r="O134" s="342">
        <f t="shared" si="6"/>
        <v>0</v>
      </c>
      <c r="P134" s="308" t="str">
        <f t="shared" ca="1" si="7"/>
        <v>-</v>
      </c>
    </row>
    <row r="135" spans="11:16" ht="15.95" customHeight="1" x14ac:dyDescent="0.25">
      <c r="K135" s="308">
        <f t="shared" ca="1" si="5"/>
        <v>0</v>
      </c>
      <c r="L135" s="342" cm="1">
        <f t="array" aca="1" ref="L135" ca="1">O135-IF(ExpTaxCount=2,SUM(M135:N135),SUM(M135:M135))</f>
        <v>0</v>
      </c>
      <c r="M135" s="342">
        <f ca="1">$O135/(1+IF(ISERROR($F135),0,IF(ISNA(MATCH($F135,TaxCode,0)),0,OFFSET(Setup!$D$23,MATCH($F135,TaxCode,0),0,1,1)))+IF(ISERROR($G135),0,IF(ISNA(MATCH($G135,TaxCode,0)),0,OFFSET(Setup!$D$23,MATCH($G135,TaxCode,0),0,1,1))))*IF(ISERROR($F135),0,IF(ISNA(MATCH($F135,TaxCode,0)),0,OFFSET(Setup!$D$23,MATCH($F135,TaxCode,0),0,1,1)))</f>
        <v>0</v>
      </c>
      <c r="N135" s="342">
        <f ca="1">$O135/(1+IF(ISERROR($F135),0,IF(ISNA(MATCH($F135,TaxCode,0)),0,OFFSET(Setup!$D$23,MATCH($F135,TaxCode,0),0,1,1)))+IF(ISERROR($G135),0,IF(ISNA(MATCH($G135,TaxCode,0)),0,OFFSET(Setup!$D$23,MATCH($G135,TaxCode,0),0,1,1))))*IF(ISERROR($G135),0,IF(ISNA(MATCH($G135,TaxCode,0)),0,OFFSET(Setup!$D$23,MATCH($G135,TaxCode,0),0,1,1)))</f>
        <v>0</v>
      </c>
      <c r="O135" s="342">
        <f t="shared" si="6"/>
        <v>0</v>
      </c>
      <c r="P135" s="308" t="str">
        <f t="shared" ca="1" si="7"/>
        <v>-</v>
      </c>
    </row>
    <row r="136" spans="11:16" ht="15.95" customHeight="1" x14ac:dyDescent="0.25">
      <c r="K136" s="308">
        <f t="shared" ca="1" si="5"/>
        <v>0</v>
      </c>
      <c r="L136" s="342" cm="1">
        <f t="array" aca="1" ref="L136" ca="1">O136-IF(ExpTaxCount=2,SUM(M136:N136),SUM(M136:M136))</f>
        <v>0</v>
      </c>
      <c r="M136" s="342">
        <f ca="1">$O136/(1+IF(ISERROR($F136),0,IF(ISNA(MATCH($F136,TaxCode,0)),0,OFFSET(Setup!$D$23,MATCH($F136,TaxCode,0),0,1,1)))+IF(ISERROR($G136),0,IF(ISNA(MATCH($G136,TaxCode,0)),0,OFFSET(Setup!$D$23,MATCH($G136,TaxCode,0),0,1,1))))*IF(ISERROR($F136),0,IF(ISNA(MATCH($F136,TaxCode,0)),0,OFFSET(Setup!$D$23,MATCH($F136,TaxCode,0),0,1,1)))</f>
        <v>0</v>
      </c>
      <c r="N136" s="342">
        <f ca="1">$O136/(1+IF(ISERROR($F136),0,IF(ISNA(MATCH($F136,TaxCode,0)),0,OFFSET(Setup!$D$23,MATCH($F136,TaxCode,0),0,1,1)))+IF(ISERROR($G136),0,IF(ISNA(MATCH($G136,TaxCode,0)),0,OFFSET(Setup!$D$23,MATCH($G136,TaxCode,0),0,1,1))))*IF(ISERROR($G136),0,IF(ISNA(MATCH($G136,TaxCode,0)),0,OFFSET(Setup!$D$23,MATCH($G136,TaxCode,0),0,1,1)))</f>
        <v>0</v>
      </c>
      <c r="O136" s="342">
        <f t="shared" si="6"/>
        <v>0</v>
      </c>
      <c r="P136" s="308" t="str">
        <f t="shared" ca="1" si="7"/>
        <v>-</v>
      </c>
    </row>
    <row r="137" spans="11:16" ht="15.95" customHeight="1" x14ac:dyDescent="0.25">
      <c r="K137" s="308">
        <f t="shared" ca="1" si="5"/>
        <v>0</v>
      </c>
      <c r="L137" s="342" cm="1">
        <f t="array" aca="1" ref="L137" ca="1">O137-IF(ExpTaxCount=2,SUM(M137:N137),SUM(M137:M137))</f>
        <v>0</v>
      </c>
      <c r="M137" s="342">
        <f ca="1">$O137/(1+IF(ISERROR($F137),0,IF(ISNA(MATCH($F137,TaxCode,0)),0,OFFSET(Setup!$D$23,MATCH($F137,TaxCode,0),0,1,1)))+IF(ISERROR($G137),0,IF(ISNA(MATCH($G137,TaxCode,0)),0,OFFSET(Setup!$D$23,MATCH($G137,TaxCode,0),0,1,1))))*IF(ISERROR($F137),0,IF(ISNA(MATCH($F137,TaxCode,0)),0,OFFSET(Setup!$D$23,MATCH($F137,TaxCode,0),0,1,1)))</f>
        <v>0</v>
      </c>
      <c r="N137" s="342">
        <f ca="1">$O137/(1+IF(ISERROR($F137),0,IF(ISNA(MATCH($F137,TaxCode,0)),0,OFFSET(Setup!$D$23,MATCH($F137,TaxCode,0),0,1,1)))+IF(ISERROR($G137),0,IF(ISNA(MATCH($G137,TaxCode,0)),0,OFFSET(Setup!$D$23,MATCH($G137,TaxCode,0),0,1,1))))*IF(ISERROR($G137),0,IF(ISNA(MATCH($G137,TaxCode,0)),0,OFFSET(Setup!$D$23,MATCH($G137,TaxCode,0),0,1,1)))</f>
        <v>0</v>
      </c>
      <c r="O137" s="342">
        <f t="shared" si="6"/>
        <v>0</v>
      </c>
      <c r="P137" s="308" t="str">
        <f t="shared" ca="1" si="7"/>
        <v>-</v>
      </c>
    </row>
    <row r="138" spans="11:16" ht="15.95" customHeight="1" x14ac:dyDescent="0.25">
      <c r="K138" s="308">
        <f t="shared" ca="1" si="5"/>
        <v>0</v>
      </c>
      <c r="L138" s="342" cm="1">
        <f t="array" aca="1" ref="L138" ca="1">O138-IF(ExpTaxCount=2,SUM(M138:N138),SUM(M138:M138))</f>
        <v>0</v>
      </c>
      <c r="M138" s="342">
        <f ca="1">$O138/(1+IF(ISERROR($F138),0,IF(ISNA(MATCH($F138,TaxCode,0)),0,OFFSET(Setup!$D$23,MATCH($F138,TaxCode,0),0,1,1)))+IF(ISERROR($G138),0,IF(ISNA(MATCH($G138,TaxCode,0)),0,OFFSET(Setup!$D$23,MATCH($G138,TaxCode,0),0,1,1))))*IF(ISERROR($F138),0,IF(ISNA(MATCH($F138,TaxCode,0)),0,OFFSET(Setup!$D$23,MATCH($F138,TaxCode,0),0,1,1)))</f>
        <v>0</v>
      </c>
      <c r="N138" s="342">
        <f ca="1">$O138/(1+IF(ISERROR($F138),0,IF(ISNA(MATCH($F138,TaxCode,0)),0,OFFSET(Setup!$D$23,MATCH($F138,TaxCode,0),0,1,1)))+IF(ISERROR($G138),0,IF(ISNA(MATCH($G138,TaxCode,0)),0,OFFSET(Setup!$D$23,MATCH($G138,TaxCode,0),0,1,1))))*IF(ISERROR($G138),0,IF(ISNA(MATCH($G138,TaxCode,0)),0,OFFSET(Setup!$D$23,MATCH($G138,TaxCode,0),0,1,1)))</f>
        <v>0</v>
      </c>
      <c r="O138" s="342">
        <f t="shared" si="6"/>
        <v>0</v>
      </c>
      <c r="P138" s="308" t="str">
        <f t="shared" ca="1" si="7"/>
        <v>-</v>
      </c>
    </row>
    <row r="139" spans="11:16" ht="15.95" customHeight="1" x14ac:dyDescent="0.25">
      <c r="K139" s="308">
        <f t="shared" ca="1" si="5"/>
        <v>0</v>
      </c>
      <c r="L139" s="342" cm="1">
        <f t="array" aca="1" ref="L139" ca="1">O139-IF(ExpTaxCount=2,SUM(M139:N139),SUM(M139:M139))</f>
        <v>0</v>
      </c>
      <c r="M139" s="342">
        <f ca="1">$O139/(1+IF(ISERROR($F139),0,IF(ISNA(MATCH($F139,TaxCode,0)),0,OFFSET(Setup!$D$23,MATCH($F139,TaxCode,0),0,1,1)))+IF(ISERROR($G139),0,IF(ISNA(MATCH($G139,TaxCode,0)),0,OFFSET(Setup!$D$23,MATCH($G139,TaxCode,0),0,1,1))))*IF(ISERROR($F139),0,IF(ISNA(MATCH($F139,TaxCode,0)),0,OFFSET(Setup!$D$23,MATCH($F139,TaxCode,0),0,1,1)))</f>
        <v>0</v>
      </c>
      <c r="N139" s="342">
        <f ca="1">$O139/(1+IF(ISERROR($F139),0,IF(ISNA(MATCH($F139,TaxCode,0)),0,OFFSET(Setup!$D$23,MATCH($F139,TaxCode,0),0,1,1)))+IF(ISERROR($G139),0,IF(ISNA(MATCH($G139,TaxCode,0)),0,OFFSET(Setup!$D$23,MATCH($G139,TaxCode,0),0,1,1))))*IF(ISERROR($G139),0,IF(ISNA(MATCH($G139,TaxCode,0)),0,OFFSET(Setup!$D$23,MATCH($G139,TaxCode,0),0,1,1)))</f>
        <v>0</v>
      </c>
      <c r="O139" s="342">
        <f t="shared" si="6"/>
        <v>0</v>
      </c>
      <c r="P139" s="308" t="str">
        <f t="shared" ca="1" si="7"/>
        <v>-</v>
      </c>
    </row>
    <row r="140" spans="11:16" ht="15.95" customHeight="1" x14ac:dyDescent="0.25">
      <c r="K140" s="308">
        <f t="shared" ref="K140:K203" ca="1" si="8">IF(AND($A140&lt;=$L$2,OR($J140&gt;$L$2,ISBLANK($J140))),$E140,0)</f>
        <v>0</v>
      </c>
      <c r="L140" s="342" cm="1">
        <f t="array" aca="1" ref="L140" ca="1">O140-IF(ExpTaxCount=2,SUM(M140:N140),SUM(M140:M140))</f>
        <v>0</v>
      </c>
      <c r="M140" s="342">
        <f ca="1">$O140/(1+IF(ISERROR($F140),0,IF(ISNA(MATCH($F140,TaxCode,0)),0,OFFSET(Setup!$D$23,MATCH($F140,TaxCode,0),0,1,1)))+IF(ISERROR($G140),0,IF(ISNA(MATCH($G140,TaxCode,0)),0,OFFSET(Setup!$D$23,MATCH($G140,TaxCode,0),0,1,1))))*IF(ISERROR($F140),0,IF(ISNA(MATCH($F140,TaxCode,0)),0,OFFSET(Setup!$D$23,MATCH($F140,TaxCode,0),0,1,1)))</f>
        <v>0</v>
      </c>
      <c r="N140" s="342">
        <f ca="1">$O140/(1+IF(ISERROR($F140),0,IF(ISNA(MATCH($F140,TaxCode,0)),0,OFFSET(Setup!$D$23,MATCH($F140,TaxCode,0),0,1,1)))+IF(ISERROR($G140),0,IF(ISNA(MATCH($G140,TaxCode,0)),0,OFFSET(Setup!$D$23,MATCH($G140,TaxCode,0),0,1,1))))*IF(ISERROR($G140),0,IF(ISNA(MATCH($G140,TaxCode,0)),0,OFFSET(Setup!$D$23,MATCH($G140,TaxCode,0),0,1,1)))</f>
        <v>0</v>
      </c>
      <c r="O140" s="342">
        <f t="shared" ref="O140:O203" si="9">E140</f>
        <v>0</v>
      </c>
      <c r="P140" s="308" t="str">
        <f t="shared" ref="P140:P203" ca="1" si="10">IF(AND(ISBLANK(J140)=FALSE,J140&lt;A140),"E1",IF(AND(ISBLANK(I140)=FALSE,ISNA(MATCH($I140,AccountNo,0))),"E2",IF(AND(ISBLANK(H140)=FALSE,ISNA(MATCH($H140,BankCode,0))),"E3","-")))</f>
        <v>-</v>
      </c>
    </row>
    <row r="141" spans="11:16" ht="15.95" customHeight="1" x14ac:dyDescent="0.25">
      <c r="K141" s="308">
        <f t="shared" ca="1" si="8"/>
        <v>0</v>
      </c>
      <c r="L141" s="342" cm="1">
        <f t="array" aca="1" ref="L141" ca="1">O141-IF(ExpTaxCount=2,SUM(M141:N141),SUM(M141:M141))</f>
        <v>0</v>
      </c>
      <c r="M141" s="342">
        <f ca="1">$O141/(1+IF(ISERROR($F141),0,IF(ISNA(MATCH($F141,TaxCode,0)),0,OFFSET(Setup!$D$23,MATCH($F141,TaxCode,0),0,1,1)))+IF(ISERROR($G141),0,IF(ISNA(MATCH($G141,TaxCode,0)),0,OFFSET(Setup!$D$23,MATCH($G141,TaxCode,0),0,1,1))))*IF(ISERROR($F141),0,IF(ISNA(MATCH($F141,TaxCode,0)),0,OFFSET(Setup!$D$23,MATCH($F141,TaxCode,0),0,1,1)))</f>
        <v>0</v>
      </c>
      <c r="N141" s="342">
        <f ca="1">$O141/(1+IF(ISERROR($F141),0,IF(ISNA(MATCH($F141,TaxCode,0)),0,OFFSET(Setup!$D$23,MATCH($F141,TaxCode,0),0,1,1)))+IF(ISERROR($G141),0,IF(ISNA(MATCH($G141,TaxCode,0)),0,OFFSET(Setup!$D$23,MATCH($G141,TaxCode,0),0,1,1))))*IF(ISERROR($G141),0,IF(ISNA(MATCH($G141,TaxCode,0)),0,OFFSET(Setup!$D$23,MATCH($G141,TaxCode,0),0,1,1)))</f>
        <v>0</v>
      </c>
      <c r="O141" s="342">
        <f t="shared" si="9"/>
        <v>0</v>
      </c>
      <c r="P141" s="308" t="str">
        <f t="shared" ca="1" si="10"/>
        <v>-</v>
      </c>
    </row>
    <row r="142" spans="11:16" ht="15.95" customHeight="1" x14ac:dyDescent="0.25">
      <c r="K142" s="308">
        <f t="shared" ca="1" si="8"/>
        <v>0</v>
      </c>
      <c r="L142" s="342" cm="1">
        <f t="array" aca="1" ref="L142" ca="1">O142-IF(ExpTaxCount=2,SUM(M142:N142),SUM(M142:M142))</f>
        <v>0</v>
      </c>
      <c r="M142" s="342">
        <f ca="1">$O142/(1+IF(ISERROR($F142),0,IF(ISNA(MATCH($F142,TaxCode,0)),0,OFFSET(Setup!$D$23,MATCH($F142,TaxCode,0),0,1,1)))+IF(ISERROR($G142),0,IF(ISNA(MATCH($G142,TaxCode,0)),0,OFFSET(Setup!$D$23,MATCH($G142,TaxCode,0),0,1,1))))*IF(ISERROR($F142),0,IF(ISNA(MATCH($F142,TaxCode,0)),0,OFFSET(Setup!$D$23,MATCH($F142,TaxCode,0),0,1,1)))</f>
        <v>0</v>
      </c>
      <c r="N142" s="342">
        <f ca="1">$O142/(1+IF(ISERROR($F142),0,IF(ISNA(MATCH($F142,TaxCode,0)),0,OFFSET(Setup!$D$23,MATCH($F142,TaxCode,0),0,1,1)))+IF(ISERROR($G142),0,IF(ISNA(MATCH($G142,TaxCode,0)),0,OFFSET(Setup!$D$23,MATCH($G142,TaxCode,0),0,1,1))))*IF(ISERROR($G142),0,IF(ISNA(MATCH($G142,TaxCode,0)),0,OFFSET(Setup!$D$23,MATCH($G142,TaxCode,0),0,1,1)))</f>
        <v>0</v>
      </c>
      <c r="O142" s="342">
        <f t="shared" si="9"/>
        <v>0</v>
      </c>
      <c r="P142" s="308" t="str">
        <f t="shared" ca="1" si="10"/>
        <v>-</v>
      </c>
    </row>
    <row r="143" spans="11:16" ht="15.95" customHeight="1" x14ac:dyDescent="0.25">
      <c r="K143" s="308">
        <f t="shared" ca="1" si="8"/>
        <v>0</v>
      </c>
      <c r="L143" s="342" cm="1">
        <f t="array" aca="1" ref="L143" ca="1">O143-IF(ExpTaxCount=2,SUM(M143:N143),SUM(M143:M143))</f>
        <v>0</v>
      </c>
      <c r="M143" s="342">
        <f ca="1">$O143/(1+IF(ISERROR($F143),0,IF(ISNA(MATCH($F143,TaxCode,0)),0,OFFSET(Setup!$D$23,MATCH($F143,TaxCode,0),0,1,1)))+IF(ISERROR($G143),0,IF(ISNA(MATCH($G143,TaxCode,0)),0,OFFSET(Setup!$D$23,MATCH($G143,TaxCode,0),0,1,1))))*IF(ISERROR($F143),0,IF(ISNA(MATCH($F143,TaxCode,0)),0,OFFSET(Setup!$D$23,MATCH($F143,TaxCode,0),0,1,1)))</f>
        <v>0</v>
      </c>
      <c r="N143" s="342">
        <f ca="1">$O143/(1+IF(ISERROR($F143),0,IF(ISNA(MATCH($F143,TaxCode,0)),0,OFFSET(Setup!$D$23,MATCH($F143,TaxCode,0),0,1,1)))+IF(ISERROR($G143),0,IF(ISNA(MATCH($G143,TaxCode,0)),0,OFFSET(Setup!$D$23,MATCH($G143,TaxCode,0),0,1,1))))*IF(ISERROR($G143),0,IF(ISNA(MATCH($G143,TaxCode,0)),0,OFFSET(Setup!$D$23,MATCH($G143,TaxCode,0),0,1,1)))</f>
        <v>0</v>
      </c>
      <c r="O143" s="342">
        <f t="shared" si="9"/>
        <v>0</v>
      </c>
      <c r="P143" s="308" t="str">
        <f t="shared" ca="1" si="10"/>
        <v>-</v>
      </c>
    </row>
    <row r="144" spans="11:16" ht="15.95" customHeight="1" x14ac:dyDescent="0.25">
      <c r="K144" s="308">
        <f t="shared" ca="1" si="8"/>
        <v>0</v>
      </c>
      <c r="L144" s="342" cm="1">
        <f t="array" aca="1" ref="L144" ca="1">O144-IF(ExpTaxCount=2,SUM(M144:N144),SUM(M144:M144))</f>
        <v>0</v>
      </c>
      <c r="M144" s="342">
        <f ca="1">$O144/(1+IF(ISERROR($F144),0,IF(ISNA(MATCH($F144,TaxCode,0)),0,OFFSET(Setup!$D$23,MATCH($F144,TaxCode,0),0,1,1)))+IF(ISERROR($G144),0,IF(ISNA(MATCH($G144,TaxCode,0)),0,OFFSET(Setup!$D$23,MATCH($G144,TaxCode,0),0,1,1))))*IF(ISERROR($F144),0,IF(ISNA(MATCH($F144,TaxCode,0)),0,OFFSET(Setup!$D$23,MATCH($F144,TaxCode,0),0,1,1)))</f>
        <v>0</v>
      </c>
      <c r="N144" s="342">
        <f ca="1">$O144/(1+IF(ISERROR($F144),0,IF(ISNA(MATCH($F144,TaxCode,0)),0,OFFSET(Setup!$D$23,MATCH($F144,TaxCode,0),0,1,1)))+IF(ISERROR($G144),0,IF(ISNA(MATCH($G144,TaxCode,0)),0,OFFSET(Setup!$D$23,MATCH($G144,TaxCode,0),0,1,1))))*IF(ISERROR($G144),0,IF(ISNA(MATCH($G144,TaxCode,0)),0,OFFSET(Setup!$D$23,MATCH($G144,TaxCode,0),0,1,1)))</f>
        <v>0</v>
      </c>
      <c r="O144" s="342">
        <f t="shared" si="9"/>
        <v>0</v>
      </c>
      <c r="P144" s="308" t="str">
        <f t="shared" ca="1" si="10"/>
        <v>-</v>
      </c>
    </row>
    <row r="145" spans="11:16" ht="15.95" customHeight="1" x14ac:dyDescent="0.25">
      <c r="K145" s="308">
        <f t="shared" ca="1" si="8"/>
        <v>0</v>
      </c>
      <c r="L145" s="342" cm="1">
        <f t="array" aca="1" ref="L145" ca="1">O145-IF(ExpTaxCount=2,SUM(M145:N145),SUM(M145:M145))</f>
        <v>0</v>
      </c>
      <c r="M145" s="342">
        <f ca="1">$O145/(1+IF(ISERROR($F145),0,IF(ISNA(MATCH($F145,TaxCode,0)),0,OFFSET(Setup!$D$23,MATCH($F145,TaxCode,0),0,1,1)))+IF(ISERROR($G145),0,IF(ISNA(MATCH($G145,TaxCode,0)),0,OFFSET(Setup!$D$23,MATCH($G145,TaxCode,0),0,1,1))))*IF(ISERROR($F145),0,IF(ISNA(MATCH($F145,TaxCode,0)),0,OFFSET(Setup!$D$23,MATCH($F145,TaxCode,0),0,1,1)))</f>
        <v>0</v>
      </c>
      <c r="N145" s="342">
        <f ca="1">$O145/(1+IF(ISERROR($F145),0,IF(ISNA(MATCH($F145,TaxCode,0)),0,OFFSET(Setup!$D$23,MATCH($F145,TaxCode,0),0,1,1)))+IF(ISERROR($G145),0,IF(ISNA(MATCH($G145,TaxCode,0)),0,OFFSET(Setup!$D$23,MATCH($G145,TaxCode,0),0,1,1))))*IF(ISERROR($G145),0,IF(ISNA(MATCH($G145,TaxCode,0)),0,OFFSET(Setup!$D$23,MATCH($G145,TaxCode,0),0,1,1)))</f>
        <v>0</v>
      </c>
      <c r="O145" s="342">
        <f t="shared" si="9"/>
        <v>0</v>
      </c>
      <c r="P145" s="308" t="str">
        <f t="shared" ca="1" si="10"/>
        <v>-</v>
      </c>
    </row>
    <row r="146" spans="11:16" ht="15.95" customHeight="1" x14ac:dyDescent="0.25">
      <c r="K146" s="308">
        <f t="shared" ca="1" si="8"/>
        <v>0</v>
      </c>
      <c r="L146" s="342" cm="1">
        <f t="array" aca="1" ref="L146" ca="1">O146-IF(ExpTaxCount=2,SUM(M146:N146),SUM(M146:M146))</f>
        <v>0</v>
      </c>
      <c r="M146" s="342">
        <f ca="1">$O146/(1+IF(ISERROR($F146),0,IF(ISNA(MATCH($F146,TaxCode,0)),0,OFFSET(Setup!$D$23,MATCH($F146,TaxCode,0),0,1,1)))+IF(ISERROR($G146),0,IF(ISNA(MATCH($G146,TaxCode,0)),0,OFFSET(Setup!$D$23,MATCH($G146,TaxCode,0),0,1,1))))*IF(ISERROR($F146),0,IF(ISNA(MATCH($F146,TaxCode,0)),0,OFFSET(Setup!$D$23,MATCH($F146,TaxCode,0),0,1,1)))</f>
        <v>0</v>
      </c>
      <c r="N146" s="342">
        <f ca="1">$O146/(1+IF(ISERROR($F146),0,IF(ISNA(MATCH($F146,TaxCode,0)),0,OFFSET(Setup!$D$23,MATCH($F146,TaxCode,0),0,1,1)))+IF(ISERROR($G146),0,IF(ISNA(MATCH($G146,TaxCode,0)),0,OFFSET(Setup!$D$23,MATCH($G146,TaxCode,0),0,1,1))))*IF(ISERROR($G146),0,IF(ISNA(MATCH($G146,TaxCode,0)),0,OFFSET(Setup!$D$23,MATCH($G146,TaxCode,0),0,1,1)))</f>
        <v>0</v>
      </c>
      <c r="O146" s="342">
        <f t="shared" si="9"/>
        <v>0</v>
      </c>
      <c r="P146" s="308" t="str">
        <f t="shared" ca="1" si="10"/>
        <v>-</v>
      </c>
    </row>
    <row r="147" spans="11:16" ht="15.95" customHeight="1" x14ac:dyDescent="0.25">
      <c r="K147" s="308">
        <f t="shared" ca="1" si="8"/>
        <v>0</v>
      </c>
      <c r="L147" s="342" cm="1">
        <f t="array" aca="1" ref="L147" ca="1">O147-IF(ExpTaxCount=2,SUM(M147:N147),SUM(M147:M147))</f>
        <v>0</v>
      </c>
      <c r="M147" s="342">
        <f ca="1">$O147/(1+IF(ISERROR($F147),0,IF(ISNA(MATCH($F147,TaxCode,0)),0,OFFSET(Setup!$D$23,MATCH($F147,TaxCode,0),0,1,1)))+IF(ISERROR($G147),0,IF(ISNA(MATCH($G147,TaxCode,0)),0,OFFSET(Setup!$D$23,MATCH($G147,TaxCode,0),0,1,1))))*IF(ISERROR($F147),0,IF(ISNA(MATCH($F147,TaxCode,0)),0,OFFSET(Setup!$D$23,MATCH($F147,TaxCode,0),0,1,1)))</f>
        <v>0</v>
      </c>
      <c r="N147" s="342">
        <f ca="1">$O147/(1+IF(ISERROR($F147),0,IF(ISNA(MATCH($F147,TaxCode,0)),0,OFFSET(Setup!$D$23,MATCH($F147,TaxCode,0),0,1,1)))+IF(ISERROR($G147),0,IF(ISNA(MATCH($G147,TaxCode,0)),0,OFFSET(Setup!$D$23,MATCH($G147,TaxCode,0),0,1,1))))*IF(ISERROR($G147),0,IF(ISNA(MATCH($G147,TaxCode,0)),0,OFFSET(Setup!$D$23,MATCH($G147,TaxCode,0),0,1,1)))</f>
        <v>0</v>
      </c>
      <c r="O147" s="342">
        <f t="shared" si="9"/>
        <v>0</v>
      </c>
      <c r="P147" s="308" t="str">
        <f t="shared" ca="1" si="10"/>
        <v>-</v>
      </c>
    </row>
    <row r="148" spans="11:16" ht="15.95" customHeight="1" x14ac:dyDescent="0.25">
      <c r="K148" s="308">
        <f t="shared" ca="1" si="8"/>
        <v>0</v>
      </c>
      <c r="L148" s="342" cm="1">
        <f t="array" aca="1" ref="L148" ca="1">O148-IF(ExpTaxCount=2,SUM(M148:N148),SUM(M148:M148))</f>
        <v>0</v>
      </c>
      <c r="M148" s="342">
        <f ca="1">$O148/(1+IF(ISERROR($F148),0,IF(ISNA(MATCH($F148,TaxCode,0)),0,OFFSET(Setup!$D$23,MATCH($F148,TaxCode,0),0,1,1)))+IF(ISERROR($G148),0,IF(ISNA(MATCH($G148,TaxCode,0)),0,OFFSET(Setup!$D$23,MATCH($G148,TaxCode,0),0,1,1))))*IF(ISERROR($F148),0,IF(ISNA(MATCH($F148,TaxCode,0)),0,OFFSET(Setup!$D$23,MATCH($F148,TaxCode,0),0,1,1)))</f>
        <v>0</v>
      </c>
      <c r="N148" s="342">
        <f ca="1">$O148/(1+IF(ISERROR($F148),0,IF(ISNA(MATCH($F148,TaxCode,0)),0,OFFSET(Setup!$D$23,MATCH($F148,TaxCode,0),0,1,1)))+IF(ISERROR($G148),0,IF(ISNA(MATCH($G148,TaxCode,0)),0,OFFSET(Setup!$D$23,MATCH($G148,TaxCode,0),0,1,1))))*IF(ISERROR($G148),0,IF(ISNA(MATCH($G148,TaxCode,0)),0,OFFSET(Setup!$D$23,MATCH($G148,TaxCode,0),0,1,1)))</f>
        <v>0</v>
      </c>
      <c r="O148" s="342">
        <f t="shared" si="9"/>
        <v>0</v>
      </c>
      <c r="P148" s="308" t="str">
        <f t="shared" ca="1" si="10"/>
        <v>-</v>
      </c>
    </row>
    <row r="149" spans="11:16" ht="15.95" customHeight="1" x14ac:dyDescent="0.25">
      <c r="K149" s="308">
        <f t="shared" ca="1" si="8"/>
        <v>0</v>
      </c>
      <c r="L149" s="342" cm="1">
        <f t="array" aca="1" ref="L149" ca="1">O149-IF(ExpTaxCount=2,SUM(M149:N149),SUM(M149:M149))</f>
        <v>0</v>
      </c>
      <c r="M149" s="342">
        <f ca="1">$O149/(1+IF(ISERROR($F149),0,IF(ISNA(MATCH($F149,TaxCode,0)),0,OFFSET(Setup!$D$23,MATCH($F149,TaxCode,0),0,1,1)))+IF(ISERROR($G149),0,IF(ISNA(MATCH($G149,TaxCode,0)),0,OFFSET(Setup!$D$23,MATCH($G149,TaxCode,0),0,1,1))))*IF(ISERROR($F149),0,IF(ISNA(MATCH($F149,TaxCode,0)),0,OFFSET(Setup!$D$23,MATCH($F149,TaxCode,0),0,1,1)))</f>
        <v>0</v>
      </c>
      <c r="N149" s="342">
        <f ca="1">$O149/(1+IF(ISERROR($F149),0,IF(ISNA(MATCH($F149,TaxCode,0)),0,OFFSET(Setup!$D$23,MATCH($F149,TaxCode,0),0,1,1)))+IF(ISERROR($G149),0,IF(ISNA(MATCH($G149,TaxCode,0)),0,OFFSET(Setup!$D$23,MATCH($G149,TaxCode,0),0,1,1))))*IF(ISERROR($G149),0,IF(ISNA(MATCH($G149,TaxCode,0)),0,OFFSET(Setup!$D$23,MATCH($G149,TaxCode,0),0,1,1)))</f>
        <v>0</v>
      </c>
      <c r="O149" s="342">
        <f t="shared" si="9"/>
        <v>0</v>
      </c>
      <c r="P149" s="308" t="str">
        <f t="shared" ca="1" si="10"/>
        <v>-</v>
      </c>
    </row>
    <row r="150" spans="11:16" ht="15.95" customHeight="1" x14ac:dyDescent="0.25">
      <c r="K150" s="308">
        <f t="shared" ca="1" si="8"/>
        <v>0</v>
      </c>
      <c r="L150" s="342" cm="1">
        <f t="array" aca="1" ref="L150" ca="1">O150-IF(ExpTaxCount=2,SUM(M150:N150),SUM(M150:M150))</f>
        <v>0</v>
      </c>
      <c r="M150" s="342">
        <f ca="1">$O150/(1+IF(ISERROR($F150),0,IF(ISNA(MATCH($F150,TaxCode,0)),0,OFFSET(Setup!$D$23,MATCH($F150,TaxCode,0),0,1,1)))+IF(ISERROR($G150),0,IF(ISNA(MATCH($G150,TaxCode,0)),0,OFFSET(Setup!$D$23,MATCH($G150,TaxCode,0),0,1,1))))*IF(ISERROR($F150),0,IF(ISNA(MATCH($F150,TaxCode,0)),0,OFFSET(Setup!$D$23,MATCH($F150,TaxCode,0),0,1,1)))</f>
        <v>0</v>
      </c>
      <c r="N150" s="342">
        <f ca="1">$O150/(1+IF(ISERROR($F150),0,IF(ISNA(MATCH($F150,TaxCode,0)),0,OFFSET(Setup!$D$23,MATCH($F150,TaxCode,0),0,1,1)))+IF(ISERROR($G150),0,IF(ISNA(MATCH($G150,TaxCode,0)),0,OFFSET(Setup!$D$23,MATCH($G150,TaxCode,0),0,1,1))))*IF(ISERROR($G150),0,IF(ISNA(MATCH($G150,TaxCode,0)),0,OFFSET(Setup!$D$23,MATCH($G150,TaxCode,0),0,1,1)))</f>
        <v>0</v>
      </c>
      <c r="O150" s="342">
        <f t="shared" si="9"/>
        <v>0</v>
      </c>
      <c r="P150" s="308" t="str">
        <f t="shared" ca="1" si="10"/>
        <v>-</v>
      </c>
    </row>
    <row r="151" spans="11:16" ht="15.95" customHeight="1" x14ac:dyDescent="0.25">
      <c r="K151" s="308">
        <f t="shared" ca="1" si="8"/>
        <v>0</v>
      </c>
      <c r="L151" s="342" cm="1">
        <f t="array" aca="1" ref="L151" ca="1">O151-IF(ExpTaxCount=2,SUM(M151:N151),SUM(M151:M151))</f>
        <v>0</v>
      </c>
      <c r="M151" s="342">
        <f ca="1">$O151/(1+IF(ISERROR($F151),0,IF(ISNA(MATCH($F151,TaxCode,0)),0,OFFSET(Setup!$D$23,MATCH($F151,TaxCode,0),0,1,1)))+IF(ISERROR($G151),0,IF(ISNA(MATCH($G151,TaxCode,0)),0,OFFSET(Setup!$D$23,MATCH($G151,TaxCode,0),0,1,1))))*IF(ISERROR($F151),0,IF(ISNA(MATCH($F151,TaxCode,0)),0,OFFSET(Setup!$D$23,MATCH($F151,TaxCode,0),0,1,1)))</f>
        <v>0</v>
      </c>
      <c r="N151" s="342">
        <f ca="1">$O151/(1+IF(ISERROR($F151),0,IF(ISNA(MATCH($F151,TaxCode,0)),0,OFFSET(Setup!$D$23,MATCH($F151,TaxCode,0),0,1,1)))+IF(ISERROR($G151),0,IF(ISNA(MATCH($G151,TaxCode,0)),0,OFFSET(Setup!$D$23,MATCH($G151,TaxCode,0),0,1,1))))*IF(ISERROR($G151),0,IF(ISNA(MATCH($G151,TaxCode,0)),0,OFFSET(Setup!$D$23,MATCH($G151,TaxCode,0),0,1,1)))</f>
        <v>0</v>
      </c>
      <c r="O151" s="342">
        <f t="shared" si="9"/>
        <v>0</v>
      </c>
      <c r="P151" s="308" t="str">
        <f t="shared" ca="1" si="10"/>
        <v>-</v>
      </c>
    </row>
    <row r="152" spans="11:16" ht="15.95" customHeight="1" x14ac:dyDescent="0.25">
      <c r="K152" s="308">
        <f t="shared" ca="1" si="8"/>
        <v>0</v>
      </c>
      <c r="L152" s="342" cm="1">
        <f t="array" aca="1" ref="L152" ca="1">O152-IF(ExpTaxCount=2,SUM(M152:N152),SUM(M152:M152))</f>
        <v>0</v>
      </c>
      <c r="M152" s="342">
        <f ca="1">$O152/(1+IF(ISERROR($F152),0,IF(ISNA(MATCH($F152,TaxCode,0)),0,OFFSET(Setup!$D$23,MATCH($F152,TaxCode,0),0,1,1)))+IF(ISERROR($G152),0,IF(ISNA(MATCH($G152,TaxCode,0)),0,OFFSET(Setup!$D$23,MATCH($G152,TaxCode,0),0,1,1))))*IF(ISERROR($F152),0,IF(ISNA(MATCH($F152,TaxCode,0)),0,OFFSET(Setup!$D$23,MATCH($F152,TaxCode,0),0,1,1)))</f>
        <v>0</v>
      </c>
      <c r="N152" s="342">
        <f ca="1">$O152/(1+IF(ISERROR($F152),0,IF(ISNA(MATCH($F152,TaxCode,0)),0,OFFSET(Setup!$D$23,MATCH($F152,TaxCode,0),0,1,1)))+IF(ISERROR($G152),0,IF(ISNA(MATCH($G152,TaxCode,0)),0,OFFSET(Setup!$D$23,MATCH($G152,TaxCode,0),0,1,1))))*IF(ISERROR($G152),0,IF(ISNA(MATCH($G152,TaxCode,0)),0,OFFSET(Setup!$D$23,MATCH($G152,TaxCode,0),0,1,1)))</f>
        <v>0</v>
      </c>
      <c r="O152" s="342">
        <f t="shared" si="9"/>
        <v>0</v>
      </c>
      <c r="P152" s="308" t="str">
        <f t="shared" ca="1" si="10"/>
        <v>-</v>
      </c>
    </row>
    <row r="153" spans="11:16" ht="15.95" customHeight="1" x14ac:dyDescent="0.25">
      <c r="K153" s="308">
        <f t="shared" ca="1" si="8"/>
        <v>0</v>
      </c>
      <c r="L153" s="342" cm="1">
        <f t="array" aca="1" ref="L153" ca="1">O153-IF(ExpTaxCount=2,SUM(M153:N153),SUM(M153:M153))</f>
        <v>0</v>
      </c>
      <c r="M153" s="342">
        <f ca="1">$O153/(1+IF(ISERROR($F153),0,IF(ISNA(MATCH($F153,TaxCode,0)),0,OFFSET(Setup!$D$23,MATCH($F153,TaxCode,0),0,1,1)))+IF(ISERROR($G153),0,IF(ISNA(MATCH($G153,TaxCode,0)),0,OFFSET(Setup!$D$23,MATCH($G153,TaxCode,0),0,1,1))))*IF(ISERROR($F153),0,IF(ISNA(MATCH($F153,TaxCode,0)),0,OFFSET(Setup!$D$23,MATCH($F153,TaxCode,0),0,1,1)))</f>
        <v>0</v>
      </c>
      <c r="N153" s="342">
        <f ca="1">$O153/(1+IF(ISERROR($F153),0,IF(ISNA(MATCH($F153,TaxCode,0)),0,OFFSET(Setup!$D$23,MATCH($F153,TaxCode,0),0,1,1)))+IF(ISERROR($G153),0,IF(ISNA(MATCH($G153,TaxCode,0)),0,OFFSET(Setup!$D$23,MATCH($G153,TaxCode,0),0,1,1))))*IF(ISERROR($G153),0,IF(ISNA(MATCH($G153,TaxCode,0)),0,OFFSET(Setup!$D$23,MATCH($G153,TaxCode,0),0,1,1)))</f>
        <v>0</v>
      </c>
      <c r="O153" s="342">
        <f t="shared" si="9"/>
        <v>0</v>
      </c>
      <c r="P153" s="308" t="str">
        <f t="shared" ca="1" si="10"/>
        <v>-</v>
      </c>
    </row>
    <row r="154" spans="11:16" ht="15.95" customHeight="1" x14ac:dyDescent="0.25">
      <c r="K154" s="308">
        <f t="shared" ca="1" si="8"/>
        <v>0</v>
      </c>
      <c r="L154" s="342" cm="1">
        <f t="array" aca="1" ref="L154" ca="1">O154-IF(ExpTaxCount=2,SUM(M154:N154),SUM(M154:M154))</f>
        <v>0</v>
      </c>
      <c r="M154" s="342">
        <f ca="1">$O154/(1+IF(ISERROR($F154),0,IF(ISNA(MATCH($F154,TaxCode,0)),0,OFFSET(Setup!$D$23,MATCH($F154,TaxCode,0),0,1,1)))+IF(ISERROR($G154),0,IF(ISNA(MATCH($G154,TaxCode,0)),0,OFFSET(Setup!$D$23,MATCH($G154,TaxCode,0),0,1,1))))*IF(ISERROR($F154),0,IF(ISNA(MATCH($F154,TaxCode,0)),0,OFFSET(Setup!$D$23,MATCH($F154,TaxCode,0),0,1,1)))</f>
        <v>0</v>
      </c>
      <c r="N154" s="342">
        <f ca="1">$O154/(1+IF(ISERROR($F154),0,IF(ISNA(MATCH($F154,TaxCode,0)),0,OFFSET(Setup!$D$23,MATCH($F154,TaxCode,0),0,1,1)))+IF(ISERROR($G154),0,IF(ISNA(MATCH($G154,TaxCode,0)),0,OFFSET(Setup!$D$23,MATCH($G154,TaxCode,0),0,1,1))))*IF(ISERROR($G154),0,IF(ISNA(MATCH($G154,TaxCode,0)),0,OFFSET(Setup!$D$23,MATCH($G154,TaxCode,0),0,1,1)))</f>
        <v>0</v>
      </c>
      <c r="O154" s="342">
        <f t="shared" si="9"/>
        <v>0</v>
      </c>
      <c r="P154" s="308" t="str">
        <f t="shared" ca="1" si="10"/>
        <v>-</v>
      </c>
    </row>
    <row r="155" spans="11:16" ht="15.95" customHeight="1" x14ac:dyDescent="0.25">
      <c r="K155" s="308">
        <f t="shared" ca="1" si="8"/>
        <v>0</v>
      </c>
      <c r="L155" s="342" cm="1">
        <f t="array" aca="1" ref="L155" ca="1">O155-IF(ExpTaxCount=2,SUM(M155:N155),SUM(M155:M155))</f>
        <v>0</v>
      </c>
      <c r="M155" s="342">
        <f ca="1">$O155/(1+IF(ISERROR($F155),0,IF(ISNA(MATCH($F155,TaxCode,0)),0,OFFSET(Setup!$D$23,MATCH($F155,TaxCode,0),0,1,1)))+IF(ISERROR($G155),0,IF(ISNA(MATCH($G155,TaxCode,0)),0,OFFSET(Setup!$D$23,MATCH($G155,TaxCode,0),0,1,1))))*IF(ISERROR($F155),0,IF(ISNA(MATCH($F155,TaxCode,0)),0,OFFSET(Setup!$D$23,MATCH($F155,TaxCode,0),0,1,1)))</f>
        <v>0</v>
      </c>
      <c r="N155" s="342">
        <f ca="1">$O155/(1+IF(ISERROR($F155),0,IF(ISNA(MATCH($F155,TaxCode,0)),0,OFFSET(Setup!$D$23,MATCH($F155,TaxCode,0),0,1,1)))+IF(ISERROR($G155),0,IF(ISNA(MATCH($G155,TaxCode,0)),0,OFFSET(Setup!$D$23,MATCH($G155,TaxCode,0),0,1,1))))*IF(ISERROR($G155),0,IF(ISNA(MATCH($G155,TaxCode,0)),0,OFFSET(Setup!$D$23,MATCH($G155,TaxCode,0),0,1,1)))</f>
        <v>0</v>
      </c>
      <c r="O155" s="342">
        <f t="shared" si="9"/>
        <v>0</v>
      </c>
      <c r="P155" s="308" t="str">
        <f t="shared" ca="1" si="10"/>
        <v>-</v>
      </c>
    </row>
    <row r="156" spans="11:16" ht="15.95" customHeight="1" x14ac:dyDescent="0.25">
      <c r="K156" s="308">
        <f t="shared" ca="1" si="8"/>
        <v>0</v>
      </c>
      <c r="L156" s="342" cm="1">
        <f t="array" aca="1" ref="L156" ca="1">O156-IF(ExpTaxCount=2,SUM(M156:N156),SUM(M156:M156))</f>
        <v>0</v>
      </c>
      <c r="M156" s="342">
        <f ca="1">$O156/(1+IF(ISERROR($F156),0,IF(ISNA(MATCH($F156,TaxCode,0)),0,OFFSET(Setup!$D$23,MATCH($F156,TaxCode,0),0,1,1)))+IF(ISERROR($G156),0,IF(ISNA(MATCH($G156,TaxCode,0)),0,OFFSET(Setup!$D$23,MATCH($G156,TaxCode,0),0,1,1))))*IF(ISERROR($F156),0,IF(ISNA(MATCH($F156,TaxCode,0)),0,OFFSET(Setup!$D$23,MATCH($F156,TaxCode,0),0,1,1)))</f>
        <v>0</v>
      </c>
      <c r="N156" s="342">
        <f ca="1">$O156/(1+IF(ISERROR($F156),0,IF(ISNA(MATCH($F156,TaxCode,0)),0,OFFSET(Setup!$D$23,MATCH($F156,TaxCode,0),0,1,1)))+IF(ISERROR($G156),0,IF(ISNA(MATCH($G156,TaxCode,0)),0,OFFSET(Setup!$D$23,MATCH($G156,TaxCode,0),0,1,1))))*IF(ISERROR($G156),0,IF(ISNA(MATCH($G156,TaxCode,0)),0,OFFSET(Setup!$D$23,MATCH($G156,TaxCode,0),0,1,1)))</f>
        <v>0</v>
      </c>
      <c r="O156" s="342">
        <f t="shared" si="9"/>
        <v>0</v>
      </c>
      <c r="P156" s="308" t="str">
        <f t="shared" ca="1" si="10"/>
        <v>-</v>
      </c>
    </row>
    <row r="157" spans="11:16" ht="15.95" customHeight="1" x14ac:dyDescent="0.25">
      <c r="K157" s="308">
        <f t="shared" ca="1" si="8"/>
        <v>0</v>
      </c>
      <c r="L157" s="342" cm="1">
        <f t="array" aca="1" ref="L157" ca="1">O157-IF(ExpTaxCount=2,SUM(M157:N157),SUM(M157:M157))</f>
        <v>0</v>
      </c>
      <c r="M157" s="342">
        <f ca="1">$O157/(1+IF(ISERROR($F157),0,IF(ISNA(MATCH($F157,TaxCode,0)),0,OFFSET(Setup!$D$23,MATCH($F157,TaxCode,0),0,1,1)))+IF(ISERROR($G157),0,IF(ISNA(MATCH($G157,TaxCode,0)),0,OFFSET(Setup!$D$23,MATCH($G157,TaxCode,0),0,1,1))))*IF(ISERROR($F157),0,IF(ISNA(MATCH($F157,TaxCode,0)),0,OFFSET(Setup!$D$23,MATCH($F157,TaxCode,0),0,1,1)))</f>
        <v>0</v>
      </c>
      <c r="N157" s="342">
        <f ca="1">$O157/(1+IF(ISERROR($F157),0,IF(ISNA(MATCH($F157,TaxCode,0)),0,OFFSET(Setup!$D$23,MATCH($F157,TaxCode,0),0,1,1)))+IF(ISERROR($G157),0,IF(ISNA(MATCH($G157,TaxCode,0)),0,OFFSET(Setup!$D$23,MATCH($G157,TaxCode,0),0,1,1))))*IF(ISERROR($G157),0,IF(ISNA(MATCH($G157,TaxCode,0)),0,OFFSET(Setup!$D$23,MATCH($G157,TaxCode,0),0,1,1)))</f>
        <v>0</v>
      </c>
      <c r="O157" s="342">
        <f t="shared" si="9"/>
        <v>0</v>
      </c>
      <c r="P157" s="308" t="str">
        <f t="shared" ca="1" si="10"/>
        <v>-</v>
      </c>
    </row>
    <row r="158" spans="11:16" ht="15.95" customHeight="1" x14ac:dyDescent="0.25">
      <c r="K158" s="308">
        <f t="shared" ca="1" si="8"/>
        <v>0</v>
      </c>
      <c r="L158" s="342" cm="1">
        <f t="array" aca="1" ref="L158" ca="1">O158-IF(ExpTaxCount=2,SUM(M158:N158),SUM(M158:M158))</f>
        <v>0</v>
      </c>
      <c r="M158" s="342">
        <f ca="1">$O158/(1+IF(ISERROR($F158),0,IF(ISNA(MATCH($F158,TaxCode,0)),0,OFFSET(Setup!$D$23,MATCH($F158,TaxCode,0),0,1,1)))+IF(ISERROR($G158),0,IF(ISNA(MATCH($G158,TaxCode,0)),0,OFFSET(Setup!$D$23,MATCH($G158,TaxCode,0),0,1,1))))*IF(ISERROR($F158),0,IF(ISNA(MATCH($F158,TaxCode,0)),0,OFFSET(Setup!$D$23,MATCH($F158,TaxCode,0),0,1,1)))</f>
        <v>0</v>
      </c>
      <c r="N158" s="342">
        <f ca="1">$O158/(1+IF(ISERROR($F158),0,IF(ISNA(MATCH($F158,TaxCode,0)),0,OFFSET(Setup!$D$23,MATCH($F158,TaxCode,0),0,1,1)))+IF(ISERROR($G158),0,IF(ISNA(MATCH($G158,TaxCode,0)),0,OFFSET(Setup!$D$23,MATCH($G158,TaxCode,0),0,1,1))))*IF(ISERROR($G158),0,IF(ISNA(MATCH($G158,TaxCode,0)),0,OFFSET(Setup!$D$23,MATCH($G158,TaxCode,0),0,1,1)))</f>
        <v>0</v>
      </c>
      <c r="O158" s="342">
        <f t="shared" si="9"/>
        <v>0</v>
      </c>
      <c r="P158" s="308" t="str">
        <f t="shared" ca="1" si="10"/>
        <v>-</v>
      </c>
    </row>
    <row r="159" spans="11:16" ht="15.95" customHeight="1" x14ac:dyDescent="0.25">
      <c r="K159" s="308">
        <f t="shared" ca="1" si="8"/>
        <v>0</v>
      </c>
      <c r="L159" s="342" cm="1">
        <f t="array" aca="1" ref="L159" ca="1">O159-IF(ExpTaxCount=2,SUM(M159:N159),SUM(M159:M159))</f>
        <v>0</v>
      </c>
      <c r="M159" s="342">
        <f ca="1">$O159/(1+IF(ISERROR($F159),0,IF(ISNA(MATCH($F159,TaxCode,0)),0,OFFSET(Setup!$D$23,MATCH($F159,TaxCode,0),0,1,1)))+IF(ISERROR($G159),0,IF(ISNA(MATCH($G159,TaxCode,0)),0,OFFSET(Setup!$D$23,MATCH($G159,TaxCode,0),0,1,1))))*IF(ISERROR($F159),0,IF(ISNA(MATCH($F159,TaxCode,0)),0,OFFSET(Setup!$D$23,MATCH($F159,TaxCode,0),0,1,1)))</f>
        <v>0</v>
      </c>
      <c r="N159" s="342">
        <f ca="1">$O159/(1+IF(ISERROR($F159),0,IF(ISNA(MATCH($F159,TaxCode,0)),0,OFFSET(Setup!$D$23,MATCH($F159,TaxCode,0),0,1,1)))+IF(ISERROR($G159),0,IF(ISNA(MATCH($G159,TaxCode,0)),0,OFFSET(Setup!$D$23,MATCH($G159,TaxCode,0),0,1,1))))*IF(ISERROR($G159),0,IF(ISNA(MATCH($G159,TaxCode,0)),0,OFFSET(Setup!$D$23,MATCH($G159,TaxCode,0),0,1,1)))</f>
        <v>0</v>
      </c>
      <c r="O159" s="342">
        <f t="shared" si="9"/>
        <v>0</v>
      </c>
      <c r="P159" s="308" t="str">
        <f t="shared" ca="1" si="10"/>
        <v>-</v>
      </c>
    </row>
    <row r="160" spans="11:16" ht="15.95" customHeight="1" x14ac:dyDescent="0.25">
      <c r="K160" s="308">
        <f t="shared" ca="1" si="8"/>
        <v>0</v>
      </c>
      <c r="L160" s="342" cm="1">
        <f t="array" aca="1" ref="L160" ca="1">O160-IF(ExpTaxCount=2,SUM(M160:N160),SUM(M160:M160))</f>
        <v>0</v>
      </c>
      <c r="M160" s="342">
        <f ca="1">$O160/(1+IF(ISERROR($F160),0,IF(ISNA(MATCH($F160,TaxCode,0)),0,OFFSET(Setup!$D$23,MATCH($F160,TaxCode,0),0,1,1)))+IF(ISERROR($G160),0,IF(ISNA(MATCH($G160,TaxCode,0)),0,OFFSET(Setup!$D$23,MATCH($G160,TaxCode,0),0,1,1))))*IF(ISERROR($F160),0,IF(ISNA(MATCH($F160,TaxCode,0)),0,OFFSET(Setup!$D$23,MATCH($F160,TaxCode,0),0,1,1)))</f>
        <v>0</v>
      </c>
      <c r="N160" s="342">
        <f ca="1">$O160/(1+IF(ISERROR($F160),0,IF(ISNA(MATCH($F160,TaxCode,0)),0,OFFSET(Setup!$D$23,MATCH($F160,TaxCode,0),0,1,1)))+IF(ISERROR($G160),0,IF(ISNA(MATCH($G160,TaxCode,0)),0,OFFSET(Setup!$D$23,MATCH($G160,TaxCode,0),0,1,1))))*IF(ISERROR($G160),0,IF(ISNA(MATCH($G160,TaxCode,0)),0,OFFSET(Setup!$D$23,MATCH($G160,TaxCode,0),0,1,1)))</f>
        <v>0</v>
      </c>
      <c r="O160" s="342">
        <f t="shared" si="9"/>
        <v>0</v>
      </c>
      <c r="P160" s="308" t="str">
        <f t="shared" ca="1" si="10"/>
        <v>-</v>
      </c>
    </row>
    <row r="161" spans="11:16" ht="15.95" customHeight="1" x14ac:dyDescent="0.25">
      <c r="K161" s="308">
        <f t="shared" ca="1" si="8"/>
        <v>0</v>
      </c>
      <c r="L161" s="342" cm="1">
        <f t="array" aca="1" ref="L161" ca="1">O161-IF(ExpTaxCount=2,SUM(M161:N161),SUM(M161:M161))</f>
        <v>0</v>
      </c>
      <c r="M161" s="342">
        <f ca="1">$O161/(1+IF(ISERROR($F161),0,IF(ISNA(MATCH($F161,TaxCode,0)),0,OFFSET(Setup!$D$23,MATCH($F161,TaxCode,0),0,1,1)))+IF(ISERROR($G161),0,IF(ISNA(MATCH($G161,TaxCode,0)),0,OFFSET(Setup!$D$23,MATCH($G161,TaxCode,0),0,1,1))))*IF(ISERROR($F161),0,IF(ISNA(MATCH($F161,TaxCode,0)),0,OFFSET(Setup!$D$23,MATCH($F161,TaxCode,0),0,1,1)))</f>
        <v>0</v>
      </c>
      <c r="N161" s="342">
        <f ca="1">$O161/(1+IF(ISERROR($F161),0,IF(ISNA(MATCH($F161,TaxCode,0)),0,OFFSET(Setup!$D$23,MATCH($F161,TaxCode,0),0,1,1)))+IF(ISERROR($G161),0,IF(ISNA(MATCH($G161,TaxCode,0)),0,OFFSET(Setup!$D$23,MATCH($G161,TaxCode,0),0,1,1))))*IF(ISERROR($G161),0,IF(ISNA(MATCH($G161,TaxCode,0)),0,OFFSET(Setup!$D$23,MATCH($G161,TaxCode,0),0,1,1)))</f>
        <v>0</v>
      </c>
      <c r="O161" s="342">
        <f t="shared" si="9"/>
        <v>0</v>
      </c>
      <c r="P161" s="308" t="str">
        <f t="shared" ca="1" si="10"/>
        <v>-</v>
      </c>
    </row>
    <row r="162" spans="11:16" ht="15.95" customHeight="1" x14ac:dyDescent="0.25">
      <c r="K162" s="308">
        <f t="shared" ca="1" si="8"/>
        <v>0</v>
      </c>
      <c r="L162" s="342" cm="1">
        <f t="array" aca="1" ref="L162" ca="1">O162-IF(ExpTaxCount=2,SUM(M162:N162),SUM(M162:M162))</f>
        <v>0</v>
      </c>
      <c r="M162" s="342">
        <f ca="1">$O162/(1+IF(ISERROR($F162),0,IF(ISNA(MATCH($F162,TaxCode,0)),0,OFFSET(Setup!$D$23,MATCH($F162,TaxCode,0),0,1,1)))+IF(ISERROR($G162),0,IF(ISNA(MATCH($G162,TaxCode,0)),0,OFFSET(Setup!$D$23,MATCH($G162,TaxCode,0),0,1,1))))*IF(ISERROR($F162),0,IF(ISNA(MATCH($F162,TaxCode,0)),0,OFFSET(Setup!$D$23,MATCH($F162,TaxCode,0),0,1,1)))</f>
        <v>0</v>
      </c>
      <c r="N162" s="342">
        <f ca="1">$O162/(1+IF(ISERROR($F162),0,IF(ISNA(MATCH($F162,TaxCode,0)),0,OFFSET(Setup!$D$23,MATCH($F162,TaxCode,0),0,1,1)))+IF(ISERROR($G162),0,IF(ISNA(MATCH($G162,TaxCode,0)),0,OFFSET(Setup!$D$23,MATCH($G162,TaxCode,0),0,1,1))))*IF(ISERROR($G162),0,IF(ISNA(MATCH($G162,TaxCode,0)),0,OFFSET(Setup!$D$23,MATCH($G162,TaxCode,0),0,1,1)))</f>
        <v>0</v>
      </c>
      <c r="O162" s="342">
        <f t="shared" si="9"/>
        <v>0</v>
      </c>
      <c r="P162" s="308" t="str">
        <f t="shared" ca="1" si="10"/>
        <v>-</v>
      </c>
    </row>
    <row r="163" spans="11:16" ht="15.95" customHeight="1" x14ac:dyDescent="0.25">
      <c r="K163" s="308">
        <f t="shared" ca="1" si="8"/>
        <v>0</v>
      </c>
      <c r="L163" s="342" cm="1">
        <f t="array" aca="1" ref="L163" ca="1">O163-IF(ExpTaxCount=2,SUM(M163:N163),SUM(M163:M163))</f>
        <v>0</v>
      </c>
      <c r="M163" s="342">
        <f ca="1">$O163/(1+IF(ISERROR($F163),0,IF(ISNA(MATCH($F163,TaxCode,0)),0,OFFSET(Setup!$D$23,MATCH($F163,TaxCode,0),0,1,1)))+IF(ISERROR($G163),0,IF(ISNA(MATCH($G163,TaxCode,0)),0,OFFSET(Setup!$D$23,MATCH($G163,TaxCode,0),0,1,1))))*IF(ISERROR($F163),0,IF(ISNA(MATCH($F163,TaxCode,0)),0,OFFSET(Setup!$D$23,MATCH($F163,TaxCode,0),0,1,1)))</f>
        <v>0</v>
      </c>
      <c r="N163" s="342">
        <f ca="1">$O163/(1+IF(ISERROR($F163),0,IF(ISNA(MATCH($F163,TaxCode,0)),0,OFFSET(Setup!$D$23,MATCH($F163,TaxCode,0),0,1,1)))+IF(ISERROR($G163),0,IF(ISNA(MATCH($G163,TaxCode,0)),0,OFFSET(Setup!$D$23,MATCH($G163,TaxCode,0),0,1,1))))*IF(ISERROR($G163),0,IF(ISNA(MATCH($G163,TaxCode,0)),0,OFFSET(Setup!$D$23,MATCH($G163,TaxCode,0),0,1,1)))</f>
        <v>0</v>
      </c>
      <c r="O163" s="342">
        <f t="shared" si="9"/>
        <v>0</v>
      </c>
      <c r="P163" s="308" t="str">
        <f t="shared" ca="1" si="10"/>
        <v>-</v>
      </c>
    </row>
    <row r="164" spans="11:16" ht="15.95" customHeight="1" x14ac:dyDescent="0.25">
      <c r="K164" s="308">
        <f t="shared" ca="1" si="8"/>
        <v>0</v>
      </c>
      <c r="L164" s="342" cm="1">
        <f t="array" aca="1" ref="L164" ca="1">O164-IF(ExpTaxCount=2,SUM(M164:N164),SUM(M164:M164))</f>
        <v>0</v>
      </c>
      <c r="M164" s="342">
        <f ca="1">$O164/(1+IF(ISERROR($F164),0,IF(ISNA(MATCH($F164,TaxCode,0)),0,OFFSET(Setup!$D$23,MATCH($F164,TaxCode,0),0,1,1)))+IF(ISERROR($G164),0,IF(ISNA(MATCH($G164,TaxCode,0)),0,OFFSET(Setup!$D$23,MATCH($G164,TaxCode,0),0,1,1))))*IF(ISERROR($F164),0,IF(ISNA(MATCH($F164,TaxCode,0)),0,OFFSET(Setup!$D$23,MATCH($F164,TaxCode,0),0,1,1)))</f>
        <v>0</v>
      </c>
      <c r="N164" s="342">
        <f ca="1">$O164/(1+IF(ISERROR($F164),0,IF(ISNA(MATCH($F164,TaxCode,0)),0,OFFSET(Setup!$D$23,MATCH($F164,TaxCode,0),0,1,1)))+IF(ISERROR($G164),0,IF(ISNA(MATCH($G164,TaxCode,0)),0,OFFSET(Setup!$D$23,MATCH($G164,TaxCode,0),0,1,1))))*IF(ISERROR($G164),0,IF(ISNA(MATCH($G164,TaxCode,0)),0,OFFSET(Setup!$D$23,MATCH($G164,TaxCode,0),0,1,1)))</f>
        <v>0</v>
      </c>
      <c r="O164" s="342">
        <f t="shared" si="9"/>
        <v>0</v>
      </c>
      <c r="P164" s="308" t="str">
        <f t="shared" ca="1" si="10"/>
        <v>-</v>
      </c>
    </row>
    <row r="165" spans="11:16" ht="15.95" customHeight="1" x14ac:dyDescent="0.25">
      <c r="K165" s="308">
        <f t="shared" ca="1" si="8"/>
        <v>0</v>
      </c>
      <c r="L165" s="342" cm="1">
        <f t="array" aca="1" ref="L165" ca="1">O165-IF(ExpTaxCount=2,SUM(M165:N165),SUM(M165:M165))</f>
        <v>0</v>
      </c>
      <c r="M165" s="342">
        <f ca="1">$O165/(1+IF(ISERROR($F165),0,IF(ISNA(MATCH($F165,TaxCode,0)),0,OFFSET(Setup!$D$23,MATCH($F165,TaxCode,0),0,1,1)))+IF(ISERROR($G165),0,IF(ISNA(MATCH($G165,TaxCode,0)),0,OFFSET(Setup!$D$23,MATCH($G165,TaxCode,0),0,1,1))))*IF(ISERROR($F165),0,IF(ISNA(MATCH($F165,TaxCode,0)),0,OFFSET(Setup!$D$23,MATCH($F165,TaxCode,0),0,1,1)))</f>
        <v>0</v>
      </c>
      <c r="N165" s="342">
        <f ca="1">$O165/(1+IF(ISERROR($F165),0,IF(ISNA(MATCH($F165,TaxCode,0)),0,OFFSET(Setup!$D$23,MATCH($F165,TaxCode,0),0,1,1)))+IF(ISERROR($G165),0,IF(ISNA(MATCH($G165,TaxCode,0)),0,OFFSET(Setup!$D$23,MATCH($G165,TaxCode,0),0,1,1))))*IF(ISERROR($G165),0,IF(ISNA(MATCH($G165,TaxCode,0)),0,OFFSET(Setup!$D$23,MATCH($G165,TaxCode,0),0,1,1)))</f>
        <v>0</v>
      </c>
      <c r="O165" s="342">
        <f t="shared" si="9"/>
        <v>0</v>
      </c>
      <c r="P165" s="308" t="str">
        <f t="shared" ca="1" si="10"/>
        <v>-</v>
      </c>
    </row>
    <row r="166" spans="11:16" ht="15.95" customHeight="1" x14ac:dyDescent="0.25">
      <c r="K166" s="308">
        <f t="shared" ca="1" si="8"/>
        <v>0</v>
      </c>
      <c r="L166" s="342" cm="1">
        <f t="array" aca="1" ref="L166" ca="1">O166-IF(ExpTaxCount=2,SUM(M166:N166),SUM(M166:M166))</f>
        <v>0</v>
      </c>
      <c r="M166" s="342">
        <f ca="1">$O166/(1+IF(ISERROR($F166),0,IF(ISNA(MATCH($F166,TaxCode,0)),0,OFFSET(Setup!$D$23,MATCH($F166,TaxCode,0),0,1,1)))+IF(ISERROR($G166),0,IF(ISNA(MATCH($G166,TaxCode,0)),0,OFFSET(Setup!$D$23,MATCH($G166,TaxCode,0),0,1,1))))*IF(ISERROR($F166),0,IF(ISNA(MATCH($F166,TaxCode,0)),0,OFFSET(Setup!$D$23,MATCH($F166,TaxCode,0),0,1,1)))</f>
        <v>0</v>
      </c>
      <c r="N166" s="342">
        <f ca="1">$O166/(1+IF(ISERROR($F166),0,IF(ISNA(MATCH($F166,TaxCode,0)),0,OFFSET(Setup!$D$23,MATCH($F166,TaxCode,0),0,1,1)))+IF(ISERROR($G166),0,IF(ISNA(MATCH($G166,TaxCode,0)),0,OFFSET(Setup!$D$23,MATCH($G166,TaxCode,0),0,1,1))))*IF(ISERROR($G166),0,IF(ISNA(MATCH($G166,TaxCode,0)),0,OFFSET(Setup!$D$23,MATCH($G166,TaxCode,0),0,1,1)))</f>
        <v>0</v>
      </c>
      <c r="O166" s="342">
        <f t="shared" si="9"/>
        <v>0</v>
      </c>
      <c r="P166" s="308" t="str">
        <f t="shared" ca="1" si="10"/>
        <v>-</v>
      </c>
    </row>
    <row r="167" spans="11:16" ht="15.95" customHeight="1" x14ac:dyDescent="0.25">
      <c r="K167" s="308">
        <f t="shared" ca="1" si="8"/>
        <v>0</v>
      </c>
      <c r="L167" s="342" cm="1">
        <f t="array" aca="1" ref="L167" ca="1">O167-IF(ExpTaxCount=2,SUM(M167:N167),SUM(M167:M167))</f>
        <v>0</v>
      </c>
      <c r="M167" s="342">
        <f ca="1">$O167/(1+IF(ISERROR($F167),0,IF(ISNA(MATCH($F167,TaxCode,0)),0,OFFSET(Setup!$D$23,MATCH($F167,TaxCode,0),0,1,1)))+IF(ISERROR($G167),0,IF(ISNA(MATCH($G167,TaxCode,0)),0,OFFSET(Setup!$D$23,MATCH($G167,TaxCode,0),0,1,1))))*IF(ISERROR($F167),0,IF(ISNA(MATCH($F167,TaxCode,0)),0,OFFSET(Setup!$D$23,MATCH($F167,TaxCode,0),0,1,1)))</f>
        <v>0</v>
      </c>
      <c r="N167" s="342">
        <f ca="1">$O167/(1+IF(ISERROR($F167),0,IF(ISNA(MATCH($F167,TaxCode,0)),0,OFFSET(Setup!$D$23,MATCH($F167,TaxCode,0),0,1,1)))+IF(ISERROR($G167),0,IF(ISNA(MATCH($G167,TaxCode,0)),0,OFFSET(Setup!$D$23,MATCH($G167,TaxCode,0),0,1,1))))*IF(ISERROR($G167),0,IF(ISNA(MATCH($G167,TaxCode,0)),0,OFFSET(Setup!$D$23,MATCH($G167,TaxCode,0),0,1,1)))</f>
        <v>0</v>
      </c>
      <c r="O167" s="342">
        <f t="shared" si="9"/>
        <v>0</v>
      </c>
      <c r="P167" s="308" t="str">
        <f t="shared" ca="1" si="10"/>
        <v>-</v>
      </c>
    </row>
    <row r="168" spans="11:16" ht="15.95" customHeight="1" x14ac:dyDescent="0.25">
      <c r="K168" s="308">
        <f t="shared" ca="1" si="8"/>
        <v>0</v>
      </c>
      <c r="L168" s="342" cm="1">
        <f t="array" aca="1" ref="L168" ca="1">O168-IF(ExpTaxCount=2,SUM(M168:N168),SUM(M168:M168))</f>
        <v>0</v>
      </c>
      <c r="M168" s="342">
        <f ca="1">$O168/(1+IF(ISERROR($F168),0,IF(ISNA(MATCH($F168,TaxCode,0)),0,OFFSET(Setup!$D$23,MATCH($F168,TaxCode,0),0,1,1)))+IF(ISERROR($G168),0,IF(ISNA(MATCH($G168,TaxCode,0)),0,OFFSET(Setup!$D$23,MATCH($G168,TaxCode,0),0,1,1))))*IF(ISERROR($F168),0,IF(ISNA(MATCH($F168,TaxCode,0)),0,OFFSET(Setup!$D$23,MATCH($F168,TaxCode,0),0,1,1)))</f>
        <v>0</v>
      </c>
      <c r="N168" s="342">
        <f ca="1">$O168/(1+IF(ISERROR($F168),0,IF(ISNA(MATCH($F168,TaxCode,0)),0,OFFSET(Setup!$D$23,MATCH($F168,TaxCode,0),0,1,1)))+IF(ISERROR($G168),0,IF(ISNA(MATCH($G168,TaxCode,0)),0,OFFSET(Setup!$D$23,MATCH($G168,TaxCode,0),0,1,1))))*IF(ISERROR($G168),0,IF(ISNA(MATCH($G168,TaxCode,0)),0,OFFSET(Setup!$D$23,MATCH($G168,TaxCode,0),0,1,1)))</f>
        <v>0</v>
      </c>
      <c r="O168" s="342">
        <f t="shared" si="9"/>
        <v>0</v>
      </c>
      <c r="P168" s="308" t="str">
        <f t="shared" ca="1" si="10"/>
        <v>-</v>
      </c>
    </row>
    <row r="169" spans="11:16" ht="15.95" customHeight="1" x14ac:dyDescent="0.25">
      <c r="K169" s="308">
        <f t="shared" ca="1" si="8"/>
        <v>0</v>
      </c>
      <c r="L169" s="342" cm="1">
        <f t="array" aca="1" ref="L169" ca="1">O169-IF(ExpTaxCount=2,SUM(M169:N169),SUM(M169:M169))</f>
        <v>0</v>
      </c>
      <c r="M169" s="342">
        <f ca="1">$O169/(1+IF(ISERROR($F169),0,IF(ISNA(MATCH($F169,TaxCode,0)),0,OFFSET(Setup!$D$23,MATCH($F169,TaxCode,0),0,1,1)))+IF(ISERROR($G169),0,IF(ISNA(MATCH($G169,TaxCode,0)),0,OFFSET(Setup!$D$23,MATCH($G169,TaxCode,0),0,1,1))))*IF(ISERROR($F169),0,IF(ISNA(MATCH($F169,TaxCode,0)),0,OFFSET(Setup!$D$23,MATCH($F169,TaxCode,0),0,1,1)))</f>
        <v>0</v>
      </c>
      <c r="N169" s="342">
        <f ca="1">$O169/(1+IF(ISERROR($F169),0,IF(ISNA(MATCH($F169,TaxCode,0)),0,OFFSET(Setup!$D$23,MATCH($F169,TaxCode,0),0,1,1)))+IF(ISERROR($G169),0,IF(ISNA(MATCH($G169,TaxCode,0)),0,OFFSET(Setup!$D$23,MATCH($G169,TaxCode,0),0,1,1))))*IF(ISERROR($G169),0,IF(ISNA(MATCH($G169,TaxCode,0)),0,OFFSET(Setup!$D$23,MATCH($G169,TaxCode,0),0,1,1)))</f>
        <v>0</v>
      </c>
      <c r="O169" s="342">
        <f t="shared" si="9"/>
        <v>0</v>
      </c>
      <c r="P169" s="308" t="str">
        <f t="shared" ca="1" si="10"/>
        <v>-</v>
      </c>
    </row>
    <row r="170" spans="11:16" ht="15.95" customHeight="1" x14ac:dyDescent="0.25">
      <c r="K170" s="308">
        <f t="shared" ca="1" si="8"/>
        <v>0</v>
      </c>
      <c r="L170" s="342" cm="1">
        <f t="array" aca="1" ref="L170" ca="1">O170-IF(ExpTaxCount=2,SUM(M170:N170),SUM(M170:M170))</f>
        <v>0</v>
      </c>
      <c r="M170" s="342">
        <f ca="1">$O170/(1+IF(ISERROR($F170),0,IF(ISNA(MATCH($F170,TaxCode,0)),0,OFFSET(Setup!$D$23,MATCH($F170,TaxCode,0),0,1,1)))+IF(ISERROR($G170),0,IF(ISNA(MATCH($G170,TaxCode,0)),0,OFFSET(Setup!$D$23,MATCH($G170,TaxCode,0),0,1,1))))*IF(ISERROR($F170),0,IF(ISNA(MATCH($F170,TaxCode,0)),0,OFFSET(Setup!$D$23,MATCH($F170,TaxCode,0),0,1,1)))</f>
        <v>0</v>
      </c>
      <c r="N170" s="342">
        <f ca="1">$O170/(1+IF(ISERROR($F170),0,IF(ISNA(MATCH($F170,TaxCode,0)),0,OFFSET(Setup!$D$23,MATCH($F170,TaxCode,0),0,1,1)))+IF(ISERROR($G170),0,IF(ISNA(MATCH($G170,TaxCode,0)),0,OFFSET(Setup!$D$23,MATCH($G170,TaxCode,0),0,1,1))))*IF(ISERROR($G170),0,IF(ISNA(MATCH($G170,TaxCode,0)),0,OFFSET(Setup!$D$23,MATCH($G170,TaxCode,0),0,1,1)))</f>
        <v>0</v>
      </c>
      <c r="O170" s="342">
        <f t="shared" si="9"/>
        <v>0</v>
      </c>
      <c r="P170" s="308" t="str">
        <f t="shared" ca="1" si="10"/>
        <v>-</v>
      </c>
    </row>
    <row r="171" spans="11:16" ht="15.95" customHeight="1" x14ac:dyDescent="0.25">
      <c r="K171" s="308">
        <f t="shared" ca="1" si="8"/>
        <v>0</v>
      </c>
      <c r="L171" s="342" cm="1">
        <f t="array" aca="1" ref="L171" ca="1">O171-IF(ExpTaxCount=2,SUM(M171:N171),SUM(M171:M171))</f>
        <v>0</v>
      </c>
      <c r="M171" s="342">
        <f ca="1">$O171/(1+IF(ISERROR($F171),0,IF(ISNA(MATCH($F171,TaxCode,0)),0,OFFSET(Setup!$D$23,MATCH($F171,TaxCode,0),0,1,1)))+IF(ISERROR($G171),0,IF(ISNA(MATCH($G171,TaxCode,0)),0,OFFSET(Setup!$D$23,MATCH($G171,TaxCode,0),0,1,1))))*IF(ISERROR($F171),0,IF(ISNA(MATCH($F171,TaxCode,0)),0,OFFSET(Setup!$D$23,MATCH($F171,TaxCode,0),0,1,1)))</f>
        <v>0</v>
      </c>
      <c r="N171" s="342">
        <f ca="1">$O171/(1+IF(ISERROR($F171),0,IF(ISNA(MATCH($F171,TaxCode,0)),0,OFFSET(Setup!$D$23,MATCH($F171,TaxCode,0),0,1,1)))+IF(ISERROR($G171),0,IF(ISNA(MATCH($G171,TaxCode,0)),0,OFFSET(Setup!$D$23,MATCH($G171,TaxCode,0),0,1,1))))*IF(ISERROR($G171),0,IF(ISNA(MATCH($G171,TaxCode,0)),0,OFFSET(Setup!$D$23,MATCH($G171,TaxCode,0),0,1,1)))</f>
        <v>0</v>
      </c>
      <c r="O171" s="342">
        <f t="shared" si="9"/>
        <v>0</v>
      </c>
      <c r="P171" s="308" t="str">
        <f t="shared" ca="1" si="10"/>
        <v>-</v>
      </c>
    </row>
    <row r="172" spans="11:16" ht="15.95" customHeight="1" x14ac:dyDescent="0.25">
      <c r="K172" s="308">
        <f t="shared" ca="1" si="8"/>
        <v>0</v>
      </c>
      <c r="L172" s="342" cm="1">
        <f t="array" aca="1" ref="L172" ca="1">O172-IF(ExpTaxCount=2,SUM(M172:N172),SUM(M172:M172))</f>
        <v>0</v>
      </c>
      <c r="M172" s="342">
        <f ca="1">$O172/(1+IF(ISERROR($F172),0,IF(ISNA(MATCH($F172,TaxCode,0)),0,OFFSET(Setup!$D$23,MATCH($F172,TaxCode,0),0,1,1)))+IF(ISERROR($G172),0,IF(ISNA(MATCH($G172,TaxCode,0)),0,OFFSET(Setup!$D$23,MATCH($G172,TaxCode,0),0,1,1))))*IF(ISERROR($F172),0,IF(ISNA(MATCH($F172,TaxCode,0)),0,OFFSET(Setup!$D$23,MATCH($F172,TaxCode,0),0,1,1)))</f>
        <v>0</v>
      </c>
      <c r="N172" s="342">
        <f ca="1">$O172/(1+IF(ISERROR($F172),0,IF(ISNA(MATCH($F172,TaxCode,0)),0,OFFSET(Setup!$D$23,MATCH($F172,TaxCode,0),0,1,1)))+IF(ISERROR($G172),0,IF(ISNA(MATCH($G172,TaxCode,0)),0,OFFSET(Setup!$D$23,MATCH($G172,TaxCode,0),0,1,1))))*IF(ISERROR($G172),0,IF(ISNA(MATCH($G172,TaxCode,0)),0,OFFSET(Setup!$D$23,MATCH($G172,TaxCode,0),0,1,1)))</f>
        <v>0</v>
      </c>
      <c r="O172" s="342">
        <f t="shared" si="9"/>
        <v>0</v>
      </c>
      <c r="P172" s="308" t="str">
        <f t="shared" ca="1" si="10"/>
        <v>-</v>
      </c>
    </row>
    <row r="173" spans="11:16" ht="15.95" customHeight="1" x14ac:dyDescent="0.25">
      <c r="K173" s="308">
        <f t="shared" ca="1" si="8"/>
        <v>0</v>
      </c>
      <c r="L173" s="342" cm="1">
        <f t="array" aca="1" ref="L173" ca="1">O173-IF(ExpTaxCount=2,SUM(M173:N173),SUM(M173:M173))</f>
        <v>0</v>
      </c>
      <c r="M173" s="342">
        <f ca="1">$O173/(1+IF(ISERROR($F173),0,IF(ISNA(MATCH($F173,TaxCode,0)),0,OFFSET(Setup!$D$23,MATCH($F173,TaxCode,0),0,1,1)))+IF(ISERROR($G173),0,IF(ISNA(MATCH($G173,TaxCode,0)),0,OFFSET(Setup!$D$23,MATCH($G173,TaxCode,0),0,1,1))))*IF(ISERROR($F173),0,IF(ISNA(MATCH($F173,TaxCode,0)),0,OFFSET(Setup!$D$23,MATCH($F173,TaxCode,0),0,1,1)))</f>
        <v>0</v>
      </c>
      <c r="N173" s="342">
        <f ca="1">$O173/(1+IF(ISERROR($F173),0,IF(ISNA(MATCH($F173,TaxCode,0)),0,OFFSET(Setup!$D$23,MATCH($F173,TaxCode,0),0,1,1)))+IF(ISERROR($G173),0,IF(ISNA(MATCH($G173,TaxCode,0)),0,OFFSET(Setup!$D$23,MATCH($G173,TaxCode,0),0,1,1))))*IF(ISERROR($G173),0,IF(ISNA(MATCH($G173,TaxCode,0)),0,OFFSET(Setup!$D$23,MATCH($G173,TaxCode,0),0,1,1)))</f>
        <v>0</v>
      </c>
      <c r="O173" s="342">
        <f t="shared" si="9"/>
        <v>0</v>
      </c>
      <c r="P173" s="308" t="str">
        <f t="shared" ca="1" si="10"/>
        <v>-</v>
      </c>
    </row>
    <row r="174" spans="11:16" ht="15.95" customHeight="1" x14ac:dyDescent="0.25">
      <c r="K174" s="308">
        <f t="shared" ca="1" si="8"/>
        <v>0</v>
      </c>
      <c r="L174" s="342" cm="1">
        <f t="array" aca="1" ref="L174" ca="1">O174-IF(ExpTaxCount=2,SUM(M174:N174),SUM(M174:M174))</f>
        <v>0</v>
      </c>
      <c r="M174" s="342">
        <f ca="1">$O174/(1+IF(ISERROR($F174),0,IF(ISNA(MATCH($F174,TaxCode,0)),0,OFFSET(Setup!$D$23,MATCH($F174,TaxCode,0),0,1,1)))+IF(ISERROR($G174),0,IF(ISNA(MATCH($G174,TaxCode,0)),0,OFFSET(Setup!$D$23,MATCH($G174,TaxCode,0),0,1,1))))*IF(ISERROR($F174),0,IF(ISNA(MATCH($F174,TaxCode,0)),0,OFFSET(Setup!$D$23,MATCH($F174,TaxCode,0),0,1,1)))</f>
        <v>0</v>
      </c>
      <c r="N174" s="342">
        <f ca="1">$O174/(1+IF(ISERROR($F174),0,IF(ISNA(MATCH($F174,TaxCode,0)),0,OFFSET(Setup!$D$23,MATCH($F174,TaxCode,0),0,1,1)))+IF(ISERROR($G174),0,IF(ISNA(MATCH($G174,TaxCode,0)),0,OFFSET(Setup!$D$23,MATCH($G174,TaxCode,0),0,1,1))))*IF(ISERROR($G174),0,IF(ISNA(MATCH($G174,TaxCode,0)),0,OFFSET(Setup!$D$23,MATCH($G174,TaxCode,0),0,1,1)))</f>
        <v>0</v>
      </c>
      <c r="O174" s="342">
        <f t="shared" si="9"/>
        <v>0</v>
      </c>
      <c r="P174" s="308" t="str">
        <f t="shared" ca="1" si="10"/>
        <v>-</v>
      </c>
    </row>
    <row r="175" spans="11:16" ht="15.95" customHeight="1" x14ac:dyDescent="0.25">
      <c r="K175" s="308">
        <f t="shared" ca="1" si="8"/>
        <v>0</v>
      </c>
      <c r="L175" s="342" cm="1">
        <f t="array" aca="1" ref="L175" ca="1">O175-IF(ExpTaxCount=2,SUM(M175:N175),SUM(M175:M175))</f>
        <v>0</v>
      </c>
      <c r="M175" s="342">
        <f ca="1">$O175/(1+IF(ISERROR($F175),0,IF(ISNA(MATCH($F175,TaxCode,0)),0,OFFSET(Setup!$D$23,MATCH($F175,TaxCode,0),0,1,1)))+IF(ISERROR($G175),0,IF(ISNA(MATCH($G175,TaxCode,0)),0,OFFSET(Setup!$D$23,MATCH($G175,TaxCode,0),0,1,1))))*IF(ISERROR($F175),0,IF(ISNA(MATCH($F175,TaxCode,0)),0,OFFSET(Setup!$D$23,MATCH($F175,TaxCode,0),0,1,1)))</f>
        <v>0</v>
      </c>
      <c r="N175" s="342">
        <f ca="1">$O175/(1+IF(ISERROR($F175),0,IF(ISNA(MATCH($F175,TaxCode,0)),0,OFFSET(Setup!$D$23,MATCH($F175,TaxCode,0),0,1,1)))+IF(ISERROR($G175),0,IF(ISNA(MATCH($G175,TaxCode,0)),0,OFFSET(Setup!$D$23,MATCH($G175,TaxCode,0),0,1,1))))*IF(ISERROR($G175),0,IF(ISNA(MATCH($G175,TaxCode,0)),0,OFFSET(Setup!$D$23,MATCH($G175,TaxCode,0),0,1,1)))</f>
        <v>0</v>
      </c>
      <c r="O175" s="342">
        <f t="shared" si="9"/>
        <v>0</v>
      </c>
      <c r="P175" s="308" t="str">
        <f t="shared" ca="1" si="10"/>
        <v>-</v>
      </c>
    </row>
    <row r="176" spans="11:16" ht="15.95" customHeight="1" x14ac:dyDescent="0.25">
      <c r="K176" s="308">
        <f t="shared" ca="1" si="8"/>
        <v>0</v>
      </c>
      <c r="L176" s="342" cm="1">
        <f t="array" aca="1" ref="L176" ca="1">O176-IF(ExpTaxCount=2,SUM(M176:N176),SUM(M176:M176))</f>
        <v>0</v>
      </c>
      <c r="M176" s="342">
        <f ca="1">$O176/(1+IF(ISERROR($F176),0,IF(ISNA(MATCH($F176,TaxCode,0)),0,OFFSET(Setup!$D$23,MATCH($F176,TaxCode,0),0,1,1)))+IF(ISERROR($G176),0,IF(ISNA(MATCH($G176,TaxCode,0)),0,OFFSET(Setup!$D$23,MATCH($G176,TaxCode,0),0,1,1))))*IF(ISERROR($F176),0,IF(ISNA(MATCH($F176,TaxCode,0)),0,OFFSET(Setup!$D$23,MATCH($F176,TaxCode,0),0,1,1)))</f>
        <v>0</v>
      </c>
      <c r="N176" s="342">
        <f ca="1">$O176/(1+IF(ISERROR($F176),0,IF(ISNA(MATCH($F176,TaxCode,0)),0,OFFSET(Setup!$D$23,MATCH($F176,TaxCode,0),0,1,1)))+IF(ISERROR($G176),0,IF(ISNA(MATCH($G176,TaxCode,0)),0,OFFSET(Setup!$D$23,MATCH($G176,TaxCode,0),0,1,1))))*IF(ISERROR($G176),0,IF(ISNA(MATCH($G176,TaxCode,0)),0,OFFSET(Setup!$D$23,MATCH($G176,TaxCode,0),0,1,1)))</f>
        <v>0</v>
      </c>
      <c r="O176" s="342">
        <f t="shared" si="9"/>
        <v>0</v>
      </c>
      <c r="P176" s="308" t="str">
        <f t="shared" ca="1" si="10"/>
        <v>-</v>
      </c>
    </row>
    <row r="177" spans="11:16" ht="15.95" customHeight="1" x14ac:dyDescent="0.25">
      <c r="K177" s="308">
        <f t="shared" ca="1" si="8"/>
        <v>0</v>
      </c>
      <c r="L177" s="342" cm="1">
        <f t="array" aca="1" ref="L177" ca="1">O177-IF(ExpTaxCount=2,SUM(M177:N177),SUM(M177:M177))</f>
        <v>0</v>
      </c>
      <c r="M177" s="342">
        <f ca="1">$O177/(1+IF(ISERROR($F177),0,IF(ISNA(MATCH($F177,TaxCode,0)),0,OFFSET(Setup!$D$23,MATCH($F177,TaxCode,0),0,1,1)))+IF(ISERROR($G177),0,IF(ISNA(MATCH($G177,TaxCode,0)),0,OFFSET(Setup!$D$23,MATCH($G177,TaxCode,0),0,1,1))))*IF(ISERROR($F177),0,IF(ISNA(MATCH($F177,TaxCode,0)),0,OFFSET(Setup!$D$23,MATCH($F177,TaxCode,0),0,1,1)))</f>
        <v>0</v>
      </c>
      <c r="N177" s="342">
        <f ca="1">$O177/(1+IF(ISERROR($F177),0,IF(ISNA(MATCH($F177,TaxCode,0)),0,OFFSET(Setup!$D$23,MATCH($F177,TaxCode,0),0,1,1)))+IF(ISERROR($G177),0,IF(ISNA(MATCH($G177,TaxCode,0)),0,OFFSET(Setup!$D$23,MATCH($G177,TaxCode,0),0,1,1))))*IF(ISERROR($G177),0,IF(ISNA(MATCH($G177,TaxCode,0)),0,OFFSET(Setup!$D$23,MATCH($G177,TaxCode,0),0,1,1)))</f>
        <v>0</v>
      </c>
      <c r="O177" s="342">
        <f t="shared" si="9"/>
        <v>0</v>
      </c>
      <c r="P177" s="308" t="str">
        <f t="shared" ca="1" si="10"/>
        <v>-</v>
      </c>
    </row>
    <row r="178" spans="11:16" ht="15.95" customHeight="1" x14ac:dyDescent="0.25">
      <c r="K178" s="308">
        <f t="shared" ca="1" si="8"/>
        <v>0</v>
      </c>
      <c r="L178" s="342" cm="1">
        <f t="array" aca="1" ref="L178" ca="1">O178-IF(ExpTaxCount=2,SUM(M178:N178),SUM(M178:M178))</f>
        <v>0</v>
      </c>
      <c r="M178" s="342">
        <f ca="1">$O178/(1+IF(ISERROR($F178),0,IF(ISNA(MATCH($F178,TaxCode,0)),0,OFFSET(Setup!$D$23,MATCH($F178,TaxCode,0),0,1,1)))+IF(ISERROR($G178),0,IF(ISNA(MATCH($G178,TaxCode,0)),0,OFFSET(Setup!$D$23,MATCH($G178,TaxCode,0),0,1,1))))*IF(ISERROR($F178),0,IF(ISNA(MATCH($F178,TaxCode,0)),0,OFFSET(Setup!$D$23,MATCH($F178,TaxCode,0),0,1,1)))</f>
        <v>0</v>
      </c>
      <c r="N178" s="342">
        <f ca="1">$O178/(1+IF(ISERROR($F178),0,IF(ISNA(MATCH($F178,TaxCode,0)),0,OFFSET(Setup!$D$23,MATCH($F178,TaxCode,0),0,1,1)))+IF(ISERROR($G178),0,IF(ISNA(MATCH($G178,TaxCode,0)),0,OFFSET(Setup!$D$23,MATCH($G178,TaxCode,0),0,1,1))))*IF(ISERROR($G178),0,IF(ISNA(MATCH($G178,TaxCode,0)),0,OFFSET(Setup!$D$23,MATCH($G178,TaxCode,0),0,1,1)))</f>
        <v>0</v>
      </c>
      <c r="O178" s="342">
        <f t="shared" si="9"/>
        <v>0</v>
      </c>
      <c r="P178" s="308" t="str">
        <f t="shared" ca="1" si="10"/>
        <v>-</v>
      </c>
    </row>
    <row r="179" spans="11:16" ht="15.95" customHeight="1" x14ac:dyDescent="0.25">
      <c r="K179" s="308">
        <f t="shared" ca="1" si="8"/>
        <v>0</v>
      </c>
      <c r="L179" s="342" cm="1">
        <f t="array" aca="1" ref="L179" ca="1">O179-IF(ExpTaxCount=2,SUM(M179:N179),SUM(M179:M179))</f>
        <v>0</v>
      </c>
      <c r="M179" s="342">
        <f ca="1">$O179/(1+IF(ISERROR($F179),0,IF(ISNA(MATCH($F179,TaxCode,0)),0,OFFSET(Setup!$D$23,MATCH($F179,TaxCode,0),0,1,1)))+IF(ISERROR($G179),0,IF(ISNA(MATCH($G179,TaxCode,0)),0,OFFSET(Setup!$D$23,MATCH($G179,TaxCode,0),0,1,1))))*IF(ISERROR($F179),0,IF(ISNA(MATCH($F179,TaxCode,0)),0,OFFSET(Setup!$D$23,MATCH($F179,TaxCode,0),0,1,1)))</f>
        <v>0</v>
      </c>
      <c r="N179" s="342">
        <f ca="1">$O179/(1+IF(ISERROR($F179),0,IF(ISNA(MATCH($F179,TaxCode,0)),0,OFFSET(Setup!$D$23,MATCH($F179,TaxCode,0),0,1,1)))+IF(ISERROR($G179),0,IF(ISNA(MATCH($G179,TaxCode,0)),0,OFFSET(Setup!$D$23,MATCH($G179,TaxCode,0),0,1,1))))*IF(ISERROR($G179),0,IF(ISNA(MATCH($G179,TaxCode,0)),0,OFFSET(Setup!$D$23,MATCH($G179,TaxCode,0),0,1,1)))</f>
        <v>0</v>
      </c>
      <c r="O179" s="342">
        <f t="shared" si="9"/>
        <v>0</v>
      </c>
      <c r="P179" s="308" t="str">
        <f t="shared" ca="1" si="10"/>
        <v>-</v>
      </c>
    </row>
    <row r="180" spans="11:16" ht="15.95" customHeight="1" x14ac:dyDescent="0.25">
      <c r="K180" s="308">
        <f t="shared" ca="1" si="8"/>
        <v>0</v>
      </c>
      <c r="L180" s="342" cm="1">
        <f t="array" aca="1" ref="L180" ca="1">O180-IF(ExpTaxCount=2,SUM(M180:N180),SUM(M180:M180))</f>
        <v>0</v>
      </c>
      <c r="M180" s="342">
        <f ca="1">$O180/(1+IF(ISERROR($F180),0,IF(ISNA(MATCH($F180,TaxCode,0)),0,OFFSET(Setup!$D$23,MATCH($F180,TaxCode,0),0,1,1)))+IF(ISERROR($G180),0,IF(ISNA(MATCH($G180,TaxCode,0)),0,OFFSET(Setup!$D$23,MATCH($G180,TaxCode,0),0,1,1))))*IF(ISERROR($F180),0,IF(ISNA(MATCH($F180,TaxCode,0)),0,OFFSET(Setup!$D$23,MATCH($F180,TaxCode,0),0,1,1)))</f>
        <v>0</v>
      </c>
      <c r="N180" s="342">
        <f ca="1">$O180/(1+IF(ISERROR($F180),0,IF(ISNA(MATCH($F180,TaxCode,0)),0,OFFSET(Setup!$D$23,MATCH($F180,TaxCode,0),0,1,1)))+IF(ISERROR($G180),0,IF(ISNA(MATCH($G180,TaxCode,0)),0,OFFSET(Setup!$D$23,MATCH($G180,TaxCode,0),0,1,1))))*IF(ISERROR($G180),0,IF(ISNA(MATCH($G180,TaxCode,0)),0,OFFSET(Setup!$D$23,MATCH($G180,TaxCode,0),0,1,1)))</f>
        <v>0</v>
      </c>
      <c r="O180" s="342">
        <f t="shared" si="9"/>
        <v>0</v>
      </c>
      <c r="P180" s="308" t="str">
        <f t="shared" ca="1" si="10"/>
        <v>-</v>
      </c>
    </row>
    <row r="181" spans="11:16" ht="15.95" customHeight="1" x14ac:dyDescent="0.25">
      <c r="K181" s="308">
        <f t="shared" ca="1" si="8"/>
        <v>0</v>
      </c>
      <c r="L181" s="342" cm="1">
        <f t="array" aca="1" ref="L181" ca="1">O181-IF(ExpTaxCount=2,SUM(M181:N181),SUM(M181:M181))</f>
        <v>0</v>
      </c>
      <c r="M181" s="342">
        <f ca="1">$O181/(1+IF(ISERROR($F181),0,IF(ISNA(MATCH($F181,TaxCode,0)),0,OFFSET(Setup!$D$23,MATCH($F181,TaxCode,0),0,1,1)))+IF(ISERROR($G181),0,IF(ISNA(MATCH($G181,TaxCode,0)),0,OFFSET(Setup!$D$23,MATCH($G181,TaxCode,0),0,1,1))))*IF(ISERROR($F181),0,IF(ISNA(MATCH($F181,TaxCode,0)),0,OFFSET(Setup!$D$23,MATCH($F181,TaxCode,0),0,1,1)))</f>
        <v>0</v>
      </c>
      <c r="N181" s="342">
        <f ca="1">$O181/(1+IF(ISERROR($F181),0,IF(ISNA(MATCH($F181,TaxCode,0)),0,OFFSET(Setup!$D$23,MATCH($F181,TaxCode,0),0,1,1)))+IF(ISERROR($G181),0,IF(ISNA(MATCH($G181,TaxCode,0)),0,OFFSET(Setup!$D$23,MATCH($G181,TaxCode,0),0,1,1))))*IF(ISERROR($G181),0,IF(ISNA(MATCH($G181,TaxCode,0)),0,OFFSET(Setup!$D$23,MATCH($G181,TaxCode,0),0,1,1)))</f>
        <v>0</v>
      </c>
      <c r="O181" s="342">
        <f t="shared" si="9"/>
        <v>0</v>
      </c>
      <c r="P181" s="308" t="str">
        <f t="shared" ca="1" si="10"/>
        <v>-</v>
      </c>
    </row>
    <row r="182" spans="11:16" ht="15.95" customHeight="1" x14ac:dyDescent="0.25">
      <c r="K182" s="308">
        <f t="shared" ca="1" si="8"/>
        <v>0</v>
      </c>
      <c r="L182" s="342" cm="1">
        <f t="array" aca="1" ref="L182" ca="1">O182-IF(ExpTaxCount=2,SUM(M182:N182),SUM(M182:M182))</f>
        <v>0</v>
      </c>
      <c r="M182" s="342">
        <f ca="1">$O182/(1+IF(ISERROR($F182),0,IF(ISNA(MATCH($F182,TaxCode,0)),0,OFFSET(Setup!$D$23,MATCH($F182,TaxCode,0),0,1,1)))+IF(ISERROR($G182),0,IF(ISNA(MATCH($G182,TaxCode,0)),0,OFFSET(Setup!$D$23,MATCH($G182,TaxCode,0),0,1,1))))*IF(ISERROR($F182),0,IF(ISNA(MATCH($F182,TaxCode,0)),0,OFFSET(Setup!$D$23,MATCH($F182,TaxCode,0),0,1,1)))</f>
        <v>0</v>
      </c>
      <c r="N182" s="342">
        <f ca="1">$O182/(1+IF(ISERROR($F182),0,IF(ISNA(MATCH($F182,TaxCode,0)),0,OFFSET(Setup!$D$23,MATCH($F182,TaxCode,0),0,1,1)))+IF(ISERROR($G182),0,IF(ISNA(MATCH($G182,TaxCode,0)),0,OFFSET(Setup!$D$23,MATCH($G182,TaxCode,0),0,1,1))))*IF(ISERROR($G182),0,IF(ISNA(MATCH($G182,TaxCode,0)),0,OFFSET(Setup!$D$23,MATCH($G182,TaxCode,0),0,1,1)))</f>
        <v>0</v>
      </c>
      <c r="O182" s="342">
        <f t="shared" si="9"/>
        <v>0</v>
      </c>
      <c r="P182" s="308" t="str">
        <f t="shared" ca="1" si="10"/>
        <v>-</v>
      </c>
    </row>
    <row r="183" spans="11:16" ht="15.95" customHeight="1" x14ac:dyDescent="0.25">
      <c r="K183" s="308">
        <f t="shared" ca="1" si="8"/>
        <v>0</v>
      </c>
      <c r="L183" s="342" cm="1">
        <f t="array" aca="1" ref="L183" ca="1">O183-IF(ExpTaxCount=2,SUM(M183:N183),SUM(M183:M183))</f>
        <v>0</v>
      </c>
      <c r="M183" s="342">
        <f ca="1">$O183/(1+IF(ISERROR($F183),0,IF(ISNA(MATCH($F183,TaxCode,0)),0,OFFSET(Setup!$D$23,MATCH($F183,TaxCode,0),0,1,1)))+IF(ISERROR($G183),0,IF(ISNA(MATCH($G183,TaxCode,0)),0,OFFSET(Setup!$D$23,MATCH($G183,TaxCode,0),0,1,1))))*IF(ISERROR($F183),0,IF(ISNA(MATCH($F183,TaxCode,0)),0,OFFSET(Setup!$D$23,MATCH($F183,TaxCode,0),0,1,1)))</f>
        <v>0</v>
      </c>
      <c r="N183" s="342">
        <f ca="1">$O183/(1+IF(ISERROR($F183),0,IF(ISNA(MATCH($F183,TaxCode,0)),0,OFFSET(Setup!$D$23,MATCH($F183,TaxCode,0),0,1,1)))+IF(ISERROR($G183),0,IF(ISNA(MATCH($G183,TaxCode,0)),0,OFFSET(Setup!$D$23,MATCH($G183,TaxCode,0),0,1,1))))*IF(ISERROR($G183),0,IF(ISNA(MATCH($G183,TaxCode,0)),0,OFFSET(Setup!$D$23,MATCH($G183,TaxCode,0),0,1,1)))</f>
        <v>0</v>
      </c>
      <c r="O183" s="342">
        <f t="shared" si="9"/>
        <v>0</v>
      </c>
      <c r="P183" s="308" t="str">
        <f t="shared" ca="1" si="10"/>
        <v>-</v>
      </c>
    </row>
    <row r="184" spans="11:16" ht="15.95" customHeight="1" x14ac:dyDescent="0.25">
      <c r="K184" s="308">
        <f t="shared" ca="1" si="8"/>
        <v>0</v>
      </c>
      <c r="L184" s="342" cm="1">
        <f t="array" aca="1" ref="L184" ca="1">O184-IF(ExpTaxCount=2,SUM(M184:N184),SUM(M184:M184))</f>
        <v>0</v>
      </c>
      <c r="M184" s="342">
        <f ca="1">$O184/(1+IF(ISERROR($F184),0,IF(ISNA(MATCH($F184,TaxCode,0)),0,OFFSET(Setup!$D$23,MATCH($F184,TaxCode,0),0,1,1)))+IF(ISERROR($G184),0,IF(ISNA(MATCH($G184,TaxCode,0)),0,OFFSET(Setup!$D$23,MATCH($G184,TaxCode,0),0,1,1))))*IF(ISERROR($F184),0,IF(ISNA(MATCH($F184,TaxCode,0)),0,OFFSET(Setup!$D$23,MATCH($F184,TaxCode,0),0,1,1)))</f>
        <v>0</v>
      </c>
      <c r="N184" s="342">
        <f ca="1">$O184/(1+IF(ISERROR($F184),0,IF(ISNA(MATCH($F184,TaxCode,0)),0,OFFSET(Setup!$D$23,MATCH($F184,TaxCode,0),0,1,1)))+IF(ISERROR($G184),0,IF(ISNA(MATCH($G184,TaxCode,0)),0,OFFSET(Setup!$D$23,MATCH($G184,TaxCode,0),0,1,1))))*IF(ISERROR($G184),0,IF(ISNA(MATCH($G184,TaxCode,0)),0,OFFSET(Setup!$D$23,MATCH($G184,TaxCode,0),0,1,1)))</f>
        <v>0</v>
      </c>
      <c r="O184" s="342">
        <f t="shared" si="9"/>
        <v>0</v>
      </c>
      <c r="P184" s="308" t="str">
        <f t="shared" ca="1" si="10"/>
        <v>-</v>
      </c>
    </row>
    <row r="185" spans="11:16" ht="15.95" customHeight="1" x14ac:dyDescent="0.25">
      <c r="K185" s="308">
        <f t="shared" ca="1" si="8"/>
        <v>0</v>
      </c>
      <c r="L185" s="342" cm="1">
        <f t="array" aca="1" ref="L185" ca="1">O185-IF(ExpTaxCount=2,SUM(M185:N185),SUM(M185:M185))</f>
        <v>0</v>
      </c>
      <c r="M185" s="342">
        <f ca="1">$O185/(1+IF(ISERROR($F185),0,IF(ISNA(MATCH($F185,TaxCode,0)),0,OFFSET(Setup!$D$23,MATCH($F185,TaxCode,0),0,1,1)))+IF(ISERROR($G185),0,IF(ISNA(MATCH($G185,TaxCode,0)),0,OFFSET(Setup!$D$23,MATCH($G185,TaxCode,0),0,1,1))))*IF(ISERROR($F185),0,IF(ISNA(MATCH($F185,TaxCode,0)),0,OFFSET(Setup!$D$23,MATCH($F185,TaxCode,0),0,1,1)))</f>
        <v>0</v>
      </c>
      <c r="N185" s="342">
        <f ca="1">$O185/(1+IF(ISERROR($F185),0,IF(ISNA(MATCH($F185,TaxCode,0)),0,OFFSET(Setup!$D$23,MATCH($F185,TaxCode,0),0,1,1)))+IF(ISERROR($G185),0,IF(ISNA(MATCH($G185,TaxCode,0)),0,OFFSET(Setup!$D$23,MATCH($G185,TaxCode,0),0,1,1))))*IF(ISERROR($G185),0,IF(ISNA(MATCH($G185,TaxCode,0)),0,OFFSET(Setup!$D$23,MATCH($G185,TaxCode,0),0,1,1)))</f>
        <v>0</v>
      </c>
      <c r="O185" s="342">
        <f t="shared" si="9"/>
        <v>0</v>
      </c>
      <c r="P185" s="308" t="str">
        <f t="shared" ca="1" si="10"/>
        <v>-</v>
      </c>
    </row>
    <row r="186" spans="11:16" ht="15.95" customHeight="1" x14ac:dyDescent="0.25">
      <c r="K186" s="308">
        <f t="shared" ca="1" si="8"/>
        <v>0</v>
      </c>
      <c r="L186" s="342" cm="1">
        <f t="array" aca="1" ref="L186" ca="1">O186-IF(ExpTaxCount=2,SUM(M186:N186),SUM(M186:M186))</f>
        <v>0</v>
      </c>
      <c r="M186" s="342">
        <f ca="1">$O186/(1+IF(ISERROR($F186),0,IF(ISNA(MATCH($F186,TaxCode,0)),0,OFFSET(Setup!$D$23,MATCH($F186,TaxCode,0),0,1,1)))+IF(ISERROR($G186),0,IF(ISNA(MATCH($G186,TaxCode,0)),0,OFFSET(Setup!$D$23,MATCH($G186,TaxCode,0),0,1,1))))*IF(ISERROR($F186),0,IF(ISNA(MATCH($F186,TaxCode,0)),0,OFFSET(Setup!$D$23,MATCH($F186,TaxCode,0),0,1,1)))</f>
        <v>0</v>
      </c>
      <c r="N186" s="342">
        <f ca="1">$O186/(1+IF(ISERROR($F186),0,IF(ISNA(MATCH($F186,TaxCode,0)),0,OFFSET(Setup!$D$23,MATCH($F186,TaxCode,0),0,1,1)))+IF(ISERROR($G186),0,IF(ISNA(MATCH($G186,TaxCode,0)),0,OFFSET(Setup!$D$23,MATCH($G186,TaxCode,0),0,1,1))))*IF(ISERROR($G186),0,IF(ISNA(MATCH($G186,TaxCode,0)),0,OFFSET(Setup!$D$23,MATCH($G186,TaxCode,0),0,1,1)))</f>
        <v>0</v>
      </c>
      <c r="O186" s="342">
        <f t="shared" si="9"/>
        <v>0</v>
      </c>
      <c r="P186" s="308" t="str">
        <f t="shared" ca="1" si="10"/>
        <v>-</v>
      </c>
    </row>
    <row r="187" spans="11:16" ht="15.95" customHeight="1" x14ac:dyDescent="0.25">
      <c r="K187" s="308">
        <f t="shared" ca="1" si="8"/>
        <v>0</v>
      </c>
      <c r="L187" s="342" cm="1">
        <f t="array" aca="1" ref="L187" ca="1">O187-IF(ExpTaxCount=2,SUM(M187:N187),SUM(M187:M187))</f>
        <v>0</v>
      </c>
      <c r="M187" s="342">
        <f ca="1">$O187/(1+IF(ISERROR($F187),0,IF(ISNA(MATCH($F187,TaxCode,0)),0,OFFSET(Setup!$D$23,MATCH($F187,TaxCode,0),0,1,1)))+IF(ISERROR($G187),0,IF(ISNA(MATCH($G187,TaxCode,0)),0,OFFSET(Setup!$D$23,MATCH($G187,TaxCode,0),0,1,1))))*IF(ISERROR($F187),0,IF(ISNA(MATCH($F187,TaxCode,0)),0,OFFSET(Setup!$D$23,MATCH($F187,TaxCode,0),0,1,1)))</f>
        <v>0</v>
      </c>
      <c r="N187" s="342">
        <f ca="1">$O187/(1+IF(ISERROR($F187),0,IF(ISNA(MATCH($F187,TaxCode,0)),0,OFFSET(Setup!$D$23,MATCH($F187,TaxCode,0),0,1,1)))+IF(ISERROR($G187),0,IF(ISNA(MATCH($G187,TaxCode,0)),0,OFFSET(Setup!$D$23,MATCH($G187,TaxCode,0),0,1,1))))*IF(ISERROR($G187),0,IF(ISNA(MATCH($G187,TaxCode,0)),0,OFFSET(Setup!$D$23,MATCH($G187,TaxCode,0),0,1,1)))</f>
        <v>0</v>
      </c>
      <c r="O187" s="342">
        <f t="shared" si="9"/>
        <v>0</v>
      </c>
      <c r="P187" s="308" t="str">
        <f t="shared" ca="1" si="10"/>
        <v>-</v>
      </c>
    </row>
    <row r="188" spans="11:16" ht="15.95" customHeight="1" x14ac:dyDescent="0.25">
      <c r="K188" s="308">
        <f t="shared" ca="1" si="8"/>
        <v>0</v>
      </c>
      <c r="L188" s="342" cm="1">
        <f t="array" aca="1" ref="L188" ca="1">O188-IF(ExpTaxCount=2,SUM(M188:N188),SUM(M188:M188))</f>
        <v>0</v>
      </c>
      <c r="M188" s="342">
        <f ca="1">$O188/(1+IF(ISERROR($F188),0,IF(ISNA(MATCH($F188,TaxCode,0)),0,OFFSET(Setup!$D$23,MATCH($F188,TaxCode,0),0,1,1)))+IF(ISERROR($G188),0,IF(ISNA(MATCH($G188,TaxCode,0)),0,OFFSET(Setup!$D$23,MATCH($G188,TaxCode,0),0,1,1))))*IF(ISERROR($F188),0,IF(ISNA(MATCH($F188,TaxCode,0)),0,OFFSET(Setup!$D$23,MATCH($F188,TaxCode,0),0,1,1)))</f>
        <v>0</v>
      </c>
      <c r="N188" s="342">
        <f ca="1">$O188/(1+IF(ISERROR($F188),0,IF(ISNA(MATCH($F188,TaxCode,0)),0,OFFSET(Setup!$D$23,MATCH($F188,TaxCode,0),0,1,1)))+IF(ISERROR($G188),0,IF(ISNA(MATCH($G188,TaxCode,0)),0,OFFSET(Setup!$D$23,MATCH($G188,TaxCode,0),0,1,1))))*IF(ISERROR($G188),0,IF(ISNA(MATCH($G188,TaxCode,0)),0,OFFSET(Setup!$D$23,MATCH($G188,TaxCode,0),0,1,1)))</f>
        <v>0</v>
      </c>
      <c r="O188" s="342">
        <f t="shared" si="9"/>
        <v>0</v>
      </c>
      <c r="P188" s="308" t="str">
        <f t="shared" ca="1" si="10"/>
        <v>-</v>
      </c>
    </row>
    <row r="189" spans="11:16" ht="15.95" customHeight="1" x14ac:dyDescent="0.25">
      <c r="K189" s="308">
        <f t="shared" ca="1" si="8"/>
        <v>0</v>
      </c>
      <c r="L189" s="342" cm="1">
        <f t="array" aca="1" ref="L189" ca="1">O189-IF(ExpTaxCount=2,SUM(M189:N189),SUM(M189:M189))</f>
        <v>0</v>
      </c>
      <c r="M189" s="342">
        <f ca="1">$O189/(1+IF(ISERROR($F189),0,IF(ISNA(MATCH($F189,TaxCode,0)),0,OFFSET(Setup!$D$23,MATCH($F189,TaxCode,0),0,1,1)))+IF(ISERROR($G189),0,IF(ISNA(MATCH($G189,TaxCode,0)),0,OFFSET(Setup!$D$23,MATCH($G189,TaxCode,0),0,1,1))))*IF(ISERROR($F189),0,IF(ISNA(MATCH($F189,TaxCode,0)),0,OFFSET(Setup!$D$23,MATCH($F189,TaxCode,0),0,1,1)))</f>
        <v>0</v>
      </c>
      <c r="N189" s="342">
        <f ca="1">$O189/(1+IF(ISERROR($F189),0,IF(ISNA(MATCH($F189,TaxCode,0)),0,OFFSET(Setup!$D$23,MATCH($F189,TaxCode,0),0,1,1)))+IF(ISERROR($G189),0,IF(ISNA(MATCH($G189,TaxCode,0)),0,OFFSET(Setup!$D$23,MATCH($G189,TaxCode,0),0,1,1))))*IF(ISERROR($G189),0,IF(ISNA(MATCH($G189,TaxCode,0)),0,OFFSET(Setup!$D$23,MATCH($G189,TaxCode,0),0,1,1)))</f>
        <v>0</v>
      </c>
      <c r="O189" s="342">
        <f t="shared" si="9"/>
        <v>0</v>
      </c>
      <c r="P189" s="308" t="str">
        <f t="shared" ca="1" si="10"/>
        <v>-</v>
      </c>
    </row>
    <row r="190" spans="11:16" ht="15.95" customHeight="1" x14ac:dyDescent="0.25">
      <c r="K190" s="308">
        <f t="shared" ca="1" si="8"/>
        <v>0</v>
      </c>
      <c r="L190" s="342" cm="1">
        <f t="array" aca="1" ref="L190" ca="1">O190-IF(ExpTaxCount=2,SUM(M190:N190),SUM(M190:M190))</f>
        <v>0</v>
      </c>
      <c r="M190" s="342">
        <f ca="1">$O190/(1+IF(ISERROR($F190),0,IF(ISNA(MATCH($F190,TaxCode,0)),0,OFFSET(Setup!$D$23,MATCH($F190,TaxCode,0),0,1,1)))+IF(ISERROR($G190),0,IF(ISNA(MATCH($G190,TaxCode,0)),0,OFFSET(Setup!$D$23,MATCH($G190,TaxCode,0),0,1,1))))*IF(ISERROR($F190),0,IF(ISNA(MATCH($F190,TaxCode,0)),0,OFFSET(Setup!$D$23,MATCH($F190,TaxCode,0),0,1,1)))</f>
        <v>0</v>
      </c>
      <c r="N190" s="342">
        <f ca="1">$O190/(1+IF(ISERROR($F190),0,IF(ISNA(MATCH($F190,TaxCode,0)),0,OFFSET(Setup!$D$23,MATCH($F190,TaxCode,0),0,1,1)))+IF(ISERROR($G190),0,IF(ISNA(MATCH($G190,TaxCode,0)),0,OFFSET(Setup!$D$23,MATCH($G190,TaxCode,0),0,1,1))))*IF(ISERROR($G190),0,IF(ISNA(MATCH($G190,TaxCode,0)),0,OFFSET(Setup!$D$23,MATCH($G190,TaxCode,0),0,1,1)))</f>
        <v>0</v>
      </c>
      <c r="O190" s="342">
        <f t="shared" si="9"/>
        <v>0</v>
      </c>
      <c r="P190" s="308" t="str">
        <f t="shared" ca="1" si="10"/>
        <v>-</v>
      </c>
    </row>
    <row r="191" spans="11:16" ht="15.95" customHeight="1" x14ac:dyDescent="0.25">
      <c r="K191" s="308">
        <f t="shared" ca="1" si="8"/>
        <v>0</v>
      </c>
      <c r="L191" s="342" cm="1">
        <f t="array" aca="1" ref="L191" ca="1">O191-IF(ExpTaxCount=2,SUM(M191:N191),SUM(M191:M191))</f>
        <v>0</v>
      </c>
      <c r="M191" s="342">
        <f ca="1">$O191/(1+IF(ISERROR($F191),0,IF(ISNA(MATCH($F191,TaxCode,0)),0,OFFSET(Setup!$D$23,MATCH($F191,TaxCode,0),0,1,1)))+IF(ISERROR($G191),0,IF(ISNA(MATCH($G191,TaxCode,0)),0,OFFSET(Setup!$D$23,MATCH($G191,TaxCode,0),0,1,1))))*IF(ISERROR($F191),0,IF(ISNA(MATCH($F191,TaxCode,0)),0,OFFSET(Setup!$D$23,MATCH($F191,TaxCode,0),0,1,1)))</f>
        <v>0</v>
      </c>
      <c r="N191" s="342">
        <f ca="1">$O191/(1+IF(ISERROR($F191),0,IF(ISNA(MATCH($F191,TaxCode,0)),0,OFFSET(Setup!$D$23,MATCH($F191,TaxCode,0),0,1,1)))+IF(ISERROR($G191),0,IF(ISNA(MATCH($G191,TaxCode,0)),0,OFFSET(Setup!$D$23,MATCH($G191,TaxCode,0),0,1,1))))*IF(ISERROR($G191),0,IF(ISNA(MATCH($G191,TaxCode,0)),0,OFFSET(Setup!$D$23,MATCH($G191,TaxCode,0),0,1,1)))</f>
        <v>0</v>
      </c>
      <c r="O191" s="342">
        <f t="shared" si="9"/>
        <v>0</v>
      </c>
      <c r="P191" s="308" t="str">
        <f t="shared" ca="1" si="10"/>
        <v>-</v>
      </c>
    </row>
    <row r="192" spans="11:16" ht="15.95" customHeight="1" x14ac:dyDescent="0.25">
      <c r="K192" s="308">
        <f t="shared" ca="1" si="8"/>
        <v>0</v>
      </c>
      <c r="L192" s="342" cm="1">
        <f t="array" aca="1" ref="L192" ca="1">O192-IF(ExpTaxCount=2,SUM(M192:N192),SUM(M192:M192))</f>
        <v>0</v>
      </c>
      <c r="M192" s="342">
        <f ca="1">$O192/(1+IF(ISERROR($F192),0,IF(ISNA(MATCH($F192,TaxCode,0)),0,OFFSET(Setup!$D$23,MATCH($F192,TaxCode,0),0,1,1)))+IF(ISERROR($G192),0,IF(ISNA(MATCH($G192,TaxCode,0)),0,OFFSET(Setup!$D$23,MATCH($G192,TaxCode,0),0,1,1))))*IF(ISERROR($F192),0,IF(ISNA(MATCH($F192,TaxCode,0)),0,OFFSET(Setup!$D$23,MATCH($F192,TaxCode,0),0,1,1)))</f>
        <v>0</v>
      </c>
      <c r="N192" s="342">
        <f ca="1">$O192/(1+IF(ISERROR($F192),0,IF(ISNA(MATCH($F192,TaxCode,0)),0,OFFSET(Setup!$D$23,MATCH($F192,TaxCode,0),0,1,1)))+IF(ISERROR($G192),0,IF(ISNA(MATCH($G192,TaxCode,0)),0,OFFSET(Setup!$D$23,MATCH($G192,TaxCode,0),0,1,1))))*IF(ISERROR($G192),0,IF(ISNA(MATCH($G192,TaxCode,0)),0,OFFSET(Setup!$D$23,MATCH($G192,TaxCode,0),0,1,1)))</f>
        <v>0</v>
      </c>
      <c r="O192" s="342">
        <f t="shared" si="9"/>
        <v>0</v>
      </c>
      <c r="P192" s="308" t="str">
        <f t="shared" ca="1" si="10"/>
        <v>-</v>
      </c>
    </row>
    <row r="193" spans="11:16" ht="15.95" customHeight="1" x14ac:dyDescent="0.25">
      <c r="K193" s="308">
        <f t="shared" ca="1" si="8"/>
        <v>0</v>
      </c>
      <c r="L193" s="342" cm="1">
        <f t="array" aca="1" ref="L193" ca="1">O193-IF(ExpTaxCount=2,SUM(M193:N193),SUM(M193:M193))</f>
        <v>0</v>
      </c>
      <c r="M193" s="342">
        <f ca="1">$O193/(1+IF(ISERROR($F193),0,IF(ISNA(MATCH($F193,TaxCode,0)),0,OFFSET(Setup!$D$23,MATCH($F193,TaxCode,0),0,1,1)))+IF(ISERROR($G193),0,IF(ISNA(MATCH($G193,TaxCode,0)),0,OFFSET(Setup!$D$23,MATCH($G193,TaxCode,0),0,1,1))))*IF(ISERROR($F193),0,IF(ISNA(MATCH($F193,TaxCode,0)),0,OFFSET(Setup!$D$23,MATCH($F193,TaxCode,0),0,1,1)))</f>
        <v>0</v>
      </c>
      <c r="N193" s="342">
        <f ca="1">$O193/(1+IF(ISERROR($F193),0,IF(ISNA(MATCH($F193,TaxCode,0)),0,OFFSET(Setup!$D$23,MATCH($F193,TaxCode,0),0,1,1)))+IF(ISERROR($G193),0,IF(ISNA(MATCH($G193,TaxCode,0)),0,OFFSET(Setup!$D$23,MATCH($G193,TaxCode,0),0,1,1))))*IF(ISERROR($G193),0,IF(ISNA(MATCH($G193,TaxCode,0)),0,OFFSET(Setup!$D$23,MATCH($G193,TaxCode,0),0,1,1)))</f>
        <v>0</v>
      </c>
      <c r="O193" s="342">
        <f t="shared" si="9"/>
        <v>0</v>
      </c>
      <c r="P193" s="308" t="str">
        <f t="shared" ca="1" si="10"/>
        <v>-</v>
      </c>
    </row>
    <row r="194" spans="11:16" ht="15.95" customHeight="1" x14ac:dyDescent="0.25">
      <c r="K194" s="308">
        <f t="shared" ca="1" si="8"/>
        <v>0</v>
      </c>
      <c r="L194" s="342" cm="1">
        <f t="array" aca="1" ref="L194" ca="1">O194-IF(ExpTaxCount=2,SUM(M194:N194),SUM(M194:M194))</f>
        <v>0</v>
      </c>
      <c r="M194" s="342">
        <f ca="1">$O194/(1+IF(ISERROR($F194),0,IF(ISNA(MATCH($F194,TaxCode,0)),0,OFFSET(Setup!$D$23,MATCH($F194,TaxCode,0),0,1,1)))+IF(ISERROR($G194),0,IF(ISNA(MATCH($G194,TaxCode,0)),0,OFFSET(Setup!$D$23,MATCH($G194,TaxCode,0),0,1,1))))*IF(ISERROR($F194),0,IF(ISNA(MATCH($F194,TaxCode,0)),0,OFFSET(Setup!$D$23,MATCH($F194,TaxCode,0),0,1,1)))</f>
        <v>0</v>
      </c>
      <c r="N194" s="342">
        <f ca="1">$O194/(1+IF(ISERROR($F194),0,IF(ISNA(MATCH($F194,TaxCode,0)),0,OFFSET(Setup!$D$23,MATCH($F194,TaxCode,0),0,1,1)))+IF(ISERROR($G194),0,IF(ISNA(MATCH($G194,TaxCode,0)),0,OFFSET(Setup!$D$23,MATCH($G194,TaxCode,0),0,1,1))))*IF(ISERROR($G194),0,IF(ISNA(MATCH($G194,TaxCode,0)),0,OFFSET(Setup!$D$23,MATCH($G194,TaxCode,0),0,1,1)))</f>
        <v>0</v>
      </c>
      <c r="O194" s="342">
        <f t="shared" si="9"/>
        <v>0</v>
      </c>
      <c r="P194" s="308" t="str">
        <f t="shared" ca="1" si="10"/>
        <v>-</v>
      </c>
    </row>
    <row r="195" spans="11:16" ht="15.95" customHeight="1" x14ac:dyDescent="0.25">
      <c r="K195" s="308">
        <f t="shared" ca="1" si="8"/>
        <v>0</v>
      </c>
      <c r="L195" s="342" cm="1">
        <f t="array" aca="1" ref="L195" ca="1">O195-IF(ExpTaxCount=2,SUM(M195:N195),SUM(M195:M195))</f>
        <v>0</v>
      </c>
      <c r="M195" s="342">
        <f ca="1">$O195/(1+IF(ISERROR($F195),0,IF(ISNA(MATCH($F195,TaxCode,0)),0,OFFSET(Setup!$D$23,MATCH($F195,TaxCode,0),0,1,1)))+IF(ISERROR($G195),0,IF(ISNA(MATCH($G195,TaxCode,0)),0,OFFSET(Setup!$D$23,MATCH($G195,TaxCode,0),0,1,1))))*IF(ISERROR($F195),0,IF(ISNA(MATCH($F195,TaxCode,0)),0,OFFSET(Setup!$D$23,MATCH($F195,TaxCode,0),0,1,1)))</f>
        <v>0</v>
      </c>
      <c r="N195" s="342">
        <f ca="1">$O195/(1+IF(ISERROR($F195),0,IF(ISNA(MATCH($F195,TaxCode,0)),0,OFFSET(Setup!$D$23,MATCH($F195,TaxCode,0),0,1,1)))+IF(ISERROR($G195),0,IF(ISNA(MATCH($G195,TaxCode,0)),0,OFFSET(Setup!$D$23,MATCH($G195,TaxCode,0),0,1,1))))*IF(ISERROR($G195),0,IF(ISNA(MATCH($G195,TaxCode,0)),0,OFFSET(Setup!$D$23,MATCH($G195,TaxCode,0),0,1,1)))</f>
        <v>0</v>
      </c>
      <c r="O195" s="342">
        <f t="shared" si="9"/>
        <v>0</v>
      </c>
      <c r="P195" s="308" t="str">
        <f t="shared" ca="1" si="10"/>
        <v>-</v>
      </c>
    </row>
    <row r="196" spans="11:16" ht="15.95" customHeight="1" x14ac:dyDescent="0.25">
      <c r="K196" s="308">
        <f t="shared" ca="1" si="8"/>
        <v>0</v>
      </c>
      <c r="L196" s="342" cm="1">
        <f t="array" aca="1" ref="L196" ca="1">O196-IF(ExpTaxCount=2,SUM(M196:N196),SUM(M196:M196))</f>
        <v>0</v>
      </c>
      <c r="M196" s="342">
        <f ca="1">$O196/(1+IF(ISERROR($F196),0,IF(ISNA(MATCH($F196,TaxCode,0)),0,OFFSET(Setup!$D$23,MATCH($F196,TaxCode,0),0,1,1)))+IF(ISERROR($G196),0,IF(ISNA(MATCH($G196,TaxCode,0)),0,OFFSET(Setup!$D$23,MATCH($G196,TaxCode,0),0,1,1))))*IF(ISERROR($F196),0,IF(ISNA(MATCH($F196,TaxCode,0)),0,OFFSET(Setup!$D$23,MATCH($F196,TaxCode,0),0,1,1)))</f>
        <v>0</v>
      </c>
      <c r="N196" s="342">
        <f ca="1">$O196/(1+IF(ISERROR($F196),0,IF(ISNA(MATCH($F196,TaxCode,0)),0,OFFSET(Setup!$D$23,MATCH($F196,TaxCode,0),0,1,1)))+IF(ISERROR($G196),0,IF(ISNA(MATCH($G196,TaxCode,0)),0,OFFSET(Setup!$D$23,MATCH($G196,TaxCode,0),0,1,1))))*IF(ISERROR($G196),0,IF(ISNA(MATCH($G196,TaxCode,0)),0,OFFSET(Setup!$D$23,MATCH($G196,TaxCode,0),0,1,1)))</f>
        <v>0</v>
      </c>
      <c r="O196" s="342">
        <f t="shared" si="9"/>
        <v>0</v>
      </c>
      <c r="P196" s="308" t="str">
        <f t="shared" ca="1" si="10"/>
        <v>-</v>
      </c>
    </row>
    <row r="197" spans="11:16" ht="15.95" customHeight="1" x14ac:dyDescent="0.25">
      <c r="K197" s="308">
        <f t="shared" ca="1" si="8"/>
        <v>0</v>
      </c>
      <c r="L197" s="342" cm="1">
        <f t="array" aca="1" ref="L197" ca="1">O197-IF(ExpTaxCount=2,SUM(M197:N197),SUM(M197:M197))</f>
        <v>0</v>
      </c>
      <c r="M197" s="342">
        <f ca="1">$O197/(1+IF(ISERROR($F197),0,IF(ISNA(MATCH($F197,TaxCode,0)),0,OFFSET(Setup!$D$23,MATCH($F197,TaxCode,0),0,1,1)))+IF(ISERROR($G197),0,IF(ISNA(MATCH($G197,TaxCode,0)),0,OFFSET(Setup!$D$23,MATCH($G197,TaxCode,0),0,1,1))))*IF(ISERROR($F197),0,IF(ISNA(MATCH($F197,TaxCode,0)),0,OFFSET(Setup!$D$23,MATCH($F197,TaxCode,0),0,1,1)))</f>
        <v>0</v>
      </c>
      <c r="N197" s="342">
        <f ca="1">$O197/(1+IF(ISERROR($F197),0,IF(ISNA(MATCH($F197,TaxCode,0)),0,OFFSET(Setup!$D$23,MATCH($F197,TaxCode,0),0,1,1)))+IF(ISERROR($G197),0,IF(ISNA(MATCH($G197,TaxCode,0)),0,OFFSET(Setup!$D$23,MATCH($G197,TaxCode,0),0,1,1))))*IF(ISERROR($G197),0,IF(ISNA(MATCH($G197,TaxCode,0)),0,OFFSET(Setup!$D$23,MATCH($G197,TaxCode,0),0,1,1)))</f>
        <v>0</v>
      </c>
      <c r="O197" s="342">
        <f t="shared" si="9"/>
        <v>0</v>
      </c>
      <c r="P197" s="308" t="str">
        <f t="shared" ca="1" si="10"/>
        <v>-</v>
      </c>
    </row>
    <row r="198" spans="11:16" ht="15.95" customHeight="1" x14ac:dyDescent="0.25">
      <c r="K198" s="308">
        <f t="shared" ca="1" si="8"/>
        <v>0</v>
      </c>
      <c r="L198" s="342" cm="1">
        <f t="array" aca="1" ref="L198" ca="1">O198-IF(ExpTaxCount=2,SUM(M198:N198),SUM(M198:M198))</f>
        <v>0</v>
      </c>
      <c r="M198" s="342">
        <f ca="1">$O198/(1+IF(ISERROR($F198),0,IF(ISNA(MATCH($F198,TaxCode,0)),0,OFFSET(Setup!$D$23,MATCH($F198,TaxCode,0),0,1,1)))+IF(ISERROR($G198),0,IF(ISNA(MATCH($G198,TaxCode,0)),0,OFFSET(Setup!$D$23,MATCH($G198,TaxCode,0),0,1,1))))*IF(ISERROR($F198),0,IF(ISNA(MATCH($F198,TaxCode,0)),0,OFFSET(Setup!$D$23,MATCH($F198,TaxCode,0),0,1,1)))</f>
        <v>0</v>
      </c>
      <c r="N198" s="342">
        <f ca="1">$O198/(1+IF(ISERROR($F198),0,IF(ISNA(MATCH($F198,TaxCode,0)),0,OFFSET(Setup!$D$23,MATCH($F198,TaxCode,0),0,1,1)))+IF(ISERROR($G198),0,IF(ISNA(MATCH($G198,TaxCode,0)),0,OFFSET(Setup!$D$23,MATCH($G198,TaxCode,0),0,1,1))))*IF(ISERROR($G198),0,IF(ISNA(MATCH($G198,TaxCode,0)),0,OFFSET(Setup!$D$23,MATCH($G198,TaxCode,0),0,1,1)))</f>
        <v>0</v>
      </c>
      <c r="O198" s="342">
        <f t="shared" si="9"/>
        <v>0</v>
      </c>
      <c r="P198" s="308" t="str">
        <f t="shared" ca="1" si="10"/>
        <v>-</v>
      </c>
    </row>
    <row r="199" spans="11:16" ht="15.95" customHeight="1" x14ac:dyDescent="0.25">
      <c r="K199" s="308">
        <f t="shared" ca="1" si="8"/>
        <v>0</v>
      </c>
      <c r="L199" s="342" cm="1">
        <f t="array" aca="1" ref="L199" ca="1">O199-IF(ExpTaxCount=2,SUM(M199:N199),SUM(M199:M199))</f>
        <v>0</v>
      </c>
      <c r="M199" s="342">
        <f ca="1">$O199/(1+IF(ISERROR($F199),0,IF(ISNA(MATCH($F199,TaxCode,0)),0,OFFSET(Setup!$D$23,MATCH($F199,TaxCode,0),0,1,1)))+IF(ISERROR($G199),0,IF(ISNA(MATCH($G199,TaxCode,0)),0,OFFSET(Setup!$D$23,MATCH($G199,TaxCode,0),0,1,1))))*IF(ISERROR($F199),0,IF(ISNA(MATCH($F199,TaxCode,0)),0,OFFSET(Setup!$D$23,MATCH($F199,TaxCode,0),0,1,1)))</f>
        <v>0</v>
      </c>
      <c r="N199" s="342">
        <f ca="1">$O199/(1+IF(ISERROR($F199),0,IF(ISNA(MATCH($F199,TaxCode,0)),0,OFFSET(Setup!$D$23,MATCH($F199,TaxCode,0),0,1,1)))+IF(ISERROR($G199),0,IF(ISNA(MATCH($G199,TaxCode,0)),0,OFFSET(Setup!$D$23,MATCH($G199,TaxCode,0),0,1,1))))*IF(ISERROR($G199),0,IF(ISNA(MATCH($G199,TaxCode,0)),0,OFFSET(Setup!$D$23,MATCH($G199,TaxCode,0),0,1,1)))</f>
        <v>0</v>
      </c>
      <c r="O199" s="342">
        <f t="shared" si="9"/>
        <v>0</v>
      </c>
      <c r="P199" s="308" t="str">
        <f t="shared" ca="1" si="10"/>
        <v>-</v>
      </c>
    </row>
    <row r="200" spans="11:16" ht="15.95" customHeight="1" x14ac:dyDescent="0.25">
      <c r="K200" s="308">
        <f t="shared" ca="1" si="8"/>
        <v>0</v>
      </c>
      <c r="L200" s="342" cm="1">
        <f t="array" aca="1" ref="L200" ca="1">O200-IF(ExpTaxCount=2,SUM(M200:N200),SUM(M200:M200))</f>
        <v>0</v>
      </c>
      <c r="M200" s="342">
        <f ca="1">$O200/(1+IF(ISERROR($F200),0,IF(ISNA(MATCH($F200,TaxCode,0)),0,OFFSET(Setup!$D$23,MATCH($F200,TaxCode,0),0,1,1)))+IF(ISERROR($G200),0,IF(ISNA(MATCH($G200,TaxCode,0)),0,OFFSET(Setup!$D$23,MATCH($G200,TaxCode,0),0,1,1))))*IF(ISERROR($F200),0,IF(ISNA(MATCH($F200,TaxCode,0)),0,OFFSET(Setup!$D$23,MATCH($F200,TaxCode,0),0,1,1)))</f>
        <v>0</v>
      </c>
      <c r="N200" s="342">
        <f ca="1">$O200/(1+IF(ISERROR($F200),0,IF(ISNA(MATCH($F200,TaxCode,0)),0,OFFSET(Setup!$D$23,MATCH($F200,TaxCode,0),0,1,1)))+IF(ISERROR($G200),0,IF(ISNA(MATCH($G200,TaxCode,0)),0,OFFSET(Setup!$D$23,MATCH($G200,TaxCode,0),0,1,1))))*IF(ISERROR($G200),0,IF(ISNA(MATCH($G200,TaxCode,0)),0,OFFSET(Setup!$D$23,MATCH($G200,TaxCode,0),0,1,1)))</f>
        <v>0</v>
      </c>
      <c r="O200" s="342">
        <f t="shared" si="9"/>
        <v>0</v>
      </c>
      <c r="P200" s="308" t="str">
        <f t="shared" ca="1" si="10"/>
        <v>-</v>
      </c>
    </row>
    <row r="201" spans="11:16" ht="15.95" customHeight="1" x14ac:dyDescent="0.25">
      <c r="K201" s="308">
        <f t="shared" ca="1" si="8"/>
        <v>0</v>
      </c>
      <c r="L201" s="342" cm="1">
        <f t="array" aca="1" ref="L201" ca="1">O201-IF(ExpTaxCount=2,SUM(M201:N201),SUM(M201:M201))</f>
        <v>0</v>
      </c>
      <c r="M201" s="342">
        <f ca="1">$O201/(1+IF(ISERROR($F201),0,IF(ISNA(MATCH($F201,TaxCode,0)),0,OFFSET(Setup!$D$23,MATCH($F201,TaxCode,0),0,1,1)))+IF(ISERROR($G201),0,IF(ISNA(MATCH($G201,TaxCode,0)),0,OFFSET(Setup!$D$23,MATCH($G201,TaxCode,0),0,1,1))))*IF(ISERROR($F201),0,IF(ISNA(MATCH($F201,TaxCode,0)),0,OFFSET(Setup!$D$23,MATCH($F201,TaxCode,0),0,1,1)))</f>
        <v>0</v>
      </c>
      <c r="N201" s="342">
        <f ca="1">$O201/(1+IF(ISERROR($F201),0,IF(ISNA(MATCH($F201,TaxCode,0)),0,OFFSET(Setup!$D$23,MATCH($F201,TaxCode,0),0,1,1)))+IF(ISERROR($G201),0,IF(ISNA(MATCH($G201,TaxCode,0)),0,OFFSET(Setup!$D$23,MATCH($G201,TaxCode,0),0,1,1))))*IF(ISERROR($G201),0,IF(ISNA(MATCH($G201,TaxCode,0)),0,OFFSET(Setup!$D$23,MATCH($G201,TaxCode,0),0,1,1)))</f>
        <v>0</v>
      </c>
      <c r="O201" s="342">
        <f t="shared" si="9"/>
        <v>0</v>
      </c>
      <c r="P201" s="308" t="str">
        <f t="shared" ca="1" si="10"/>
        <v>-</v>
      </c>
    </row>
    <row r="202" spans="11:16" ht="15.95" customHeight="1" x14ac:dyDescent="0.25">
      <c r="K202" s="308">
        <f t="shared" ca="1" si="8"/>
        <v>0</v>
      </c>
      <c r="L202" s="342" cm="1">
        <f t="array" aca="1" ref="L202" ca="1">O202-IF(ExpTaxCount=2,SUM(M202:N202),SUM(M202:M202))</f>
        <v>0</v>
      </c>
      <c r="M202" s="342">
        <f ca="1">$O202/(1+IF(ISERROR($F202),0,IF(ISNA(MATCH($F202,TaxCode,0)),0,OFFSET(Setup!$D$23,MATCH($F202,TaxCode,0),0,1,1)))+IF(ISERROR($G202),0,IF(ISNA(MATCH($G202,TaxCode,0)),0,OFFSET(Setup!$D$23,MATCH($G202,TaxCode,0),0,1,1))))*IF(ISERROR($F202),0,IF(ISNA(MATCH($F202,TaxCode,0)),0,OFFSET(Setup!$D$23,MATCH($F202,TaxCode,0),0,1,1)))</f>
        <v>0</v>
      </c>
      <c r="N202" s="342">
        <f ca="1">$O202/(1+IF(ISERROR($F202),0,IF(ISNA(MATCH($F202,TaxCode,0)),0,OFFSET(Setup!$D$23,MATCH($F202,TaxCode,0),0,1,1)))+IF(ISERROR($G202),0,IF(ISNA(MATCH($G202,TaxCode,0)),0,OFFSET(Setup!$D$23,MATCH($G202,TaxCode,0),0,1,1))))*IF(ISERROR($G202),0,IF(ISNA(MATCH($G202,TaxCode,0)),0,OFFSET(Setup!$D$23,MATCH($G202,TaxCode,0),0,1,1)))</f>
        <v>0</v>
      </c>
      <c r="O202" s="342">
        <f t="shared" si="9"/>
        <v>0</v>
      </c>
      <c r="P202" s="308" t="str">
        <f t="shared" ca="1" si="10"/>
        <v>-</v>
      </c>
    </row>
    <row r="203" spans="11:16" ht="15.95" customHeight="1" x14ac:dyDescent="0.25">
      <c r="K203" s="308">
        <f t="shared" ca="1" si="8"/>
        <v>0</v>
      </c>
      <c r="L203" s="342" cm="1">
        <f t="array" aca="1" ref="L203" ca="1">O203-IF(ExpTaxCount=2,SUM(M203:N203),SUM(M203:M203))</f>
        <v>0</v>
      </c>
      <c r="M203" s="342">
        <f ca="1">$O203/(1+IF(ISERROR($F203),0,IF(ISNA(MATCH($F203,TaxCode,0)),0,OFFSET(Setup!$D$23,MATCH($F203,TaxCode,0),0,1,1)))+IF(ISERROR($G203),0,IF(ISNA(MATCH($G203,TaxCode,0)),0,OFFSET(Setup!$D$23,MATCH($G203,TaxCode,0),0,1,1))))*IF(ISERROR($F203),0,IF(ISNA(MATCH($F203,TaxCode,0)),0,OFFSET(Setup!$D$23,MATCH($F203,TaxCode,0),0,1,1)))</f>
        <v>0</v>
      </c>
      <c r="N203" s="342">
        <f ca="1">$O203/(1+IF(ISERROR($F203),0,IF(ISNA(MATCH($F203,TaxCode,0)),0,OFFSET(Setup!$D$23,MATCH($F203,TaxCode,0),0,1,1)))+IF(ISERROR($G203),0,IF(ISNA(MATCH($G203,TaxCode,0)),0,OFFSET(Setup!$D$23,MATCH($G203,TaxCode,0),0,1,1))))*IF(ISERROR($G203),0,IF(ISNA(MATCH($G203,TaxCode,0)),0,OFFSET(Setup!$D$23,MATCH($G203,TaxCode,0),0,1,1)))</f>
        <v>0</v>
      </c>
      <c r="O203" s="342">
        <f t="shared" si="9"/>
        <v>0</v>
      </c>
      <c r="P203" s="308" t="str">
        <f t="shared" ca="1" si="10"/>
        <v>-</v>
      </c>
    </row>
    <row r="204" spans="11:16" ht="15.95" customHeight="1" x14ac:dyDescent="0.25">
      <c r="K204" s="308">
        <f t="shared" ref="K204:K267" ca="1" si="11">IF(AND($A204&lt;=$L$2,OR($J204&gt;$L$2,ISBLANK($J204))),$E204,0)</f>
        <v>0</v>
      </c>
      <c r="L204" s="342" cm="1">
        <f t="array" aca="1" ref="L204" ca="1">O204-IF(ExpTaxCount=2,SUM(M204:N204),SUM(M204:M204))</f>
        <v>0</v>
      </c>
      <c r="M204" s="342">
        <f ca="1">$O204/(1+IF(ISERROR($F204),0,IF(ISNA(MATCH($F204,TaxCode,0)),0,OFFSET(Setup!$D$23,MATCH($F204,TaxCode,0),0,1,1)))+IF(ISERROR($G204),0,IF(ISNA(MATCH($G204,TaxCode,0)),0,OFFSET(Setup!$D$23,MATCH($G204,TaxCode,0),0,1,1))))*IF(ISERROR($F204),0,IF(ISNA(MATCH($F204,TaxCode,0)),0,OFFSET(Setup!$D$23,MATCH($F204,TaxCode,0),0,1,1)))</f>
        <v>0</v>
      </c>
      <c r="N204" s="342">
        <f ca="1">$O204/(1+IF(ISERROR($F204),0,IF(ISNA(MATCH($F204,TaxCode,0)),0,OFFSET(Setup!$D$23,MATCH($F204,TaxCode,0),0,1,1)))+IF(ISERROR($G204),0,IF(ISNA(MATCH($G204,TaxCode,0)),0,OFFSET(Setup!$D$23,MATCH($G204,TaxCode,0),0,1,1))))*IF(ISERROR($G204),0,IF(ISNA(MATCH($G204,TaxCode,0)),0,OFFSET(Setup!$D$23,MATCH($G204,TaxCode,0),0,1,1)))</f>
        <v>0</v>
      </c>
      <c r="O204" s="342">
        <f t="shared" ref="O204:O267" si="12">E204</f>
        <v>0</v>
      </c>
      <c r="P204" s="308" t="str">
        <f t="shared" ref="P204:P267" ca="1" si="13">IF(AND(ISBLANK(J204)=FALSE,J204&lt;A204),"E1",IF(AND(ISBLANK(I204)=FALSE,ISNA(MATCH($I204,AccountNo,0))),"E2",IF(AND(ISBLANK(H204)=FALSE,ISNA(MATCH($H204,BankCode,0))),"E3","-")))</f>
        <v>-</v>
      </c>
    </row>
    <row r="205" spans="11:16" ht="15.95" customHeight="1" x14ac:dyDescent="0.25">
      <c r="K205" s="308">
        <f t="shared" ca="1" si="11"/>
        <v>0</v>
      </c>
      <c r="L205" s="342" cm="1">
        <f t="array" aca="1" ref="L205" ca="1">O205-IF(ExpTaxCount=2,SUM(M205:N205),SUM(M205:M205))</f>
        <v>0</v>
      </c>
      <c r="M205" s="342">
        <f ca="1">$O205/(1+IF(ISERROR($F205),0,IF(ISNA(MATCH($F205,TaxCode,0)),0,OFFSET(Setup!$D$23,MATCH($F205,TaxCode,0),0,1,1)))+IF(ISERROR($G205),0,IF(ISNA(MATCH($G205,TaxCode,0)),0,OFFSET(Setup!$D$23,MATCH($G205,TaxCode,0),0,1,1))))*IF(ISERROR($F205),0,IF(ISNA(MATCH($F205,TaxCode,0)),0,OFFSET(Setup!$D$23,MATCH($F205,TaxCode,0),0,1,1)))</f>
        <v>0</v>
      </c>
      <c r="N205" s="342">
        <f ca="1">$O205/(1+IF(ISERROR($F205),0,IF(ISNA(MATCH($F205,TaxCode,0)),0,OFFSET(Setup!$D$23,MATCH($F205,TaxCode,0),0,1,1)))+IF(ISERROR($G205),0,IF(ISNA(MATCH($G205,TaxCode,0)),0,OFFSET(Setup!$D$23,MATCH($G205,TaxCode,0),0,1,1))))*IF(ISERROR($G205),0,IF(ISNA(MATCH($G205,TaxCode,0)),0,OFFSET(Setup!$D$23,MATCH($G205,TaxCode,0),0,1,1)))</f>
        <v>0</v>
      </c>
      <c r="O205" s="342">
        <f t="shared" si="12"/>
        <v>0</v>
      </c>
      <c r="P205" s="308" t="str">
        <f t="shared" ca="1" si="13"/>
        <v>-</v>
      </c>
    </row>
    <row r="206" spans="11:16" ht="15.95" customHeight="1" x14ac:dyDescent="0.25">
      <c r="K206" s="308">
        <f t="shared" ca="1" si="11"/>
        <v>0</v>
      </c>
      <c r="L206" s="342" cm="1">
        <f t="array" aca="1" ref="L206" ca="1">O206-IF(ExpTaxCount=2,SUM(M206:N206),SUM(M206:M206))</f>
        <v>0</v>
      </c>
      <c r="M206" s="342">
        <f ca="1">$O206/(1+IF(ISERROR($F206),0,IF(ISNA(MATCH($F206,TaxCode,0)),0,OFFSET(Setup!$D$23,MATCH($F206,TaxCode,0),0,1,1)))+IF(ISERROR($G206),0,IF(ISNA(MATCH($G206,TaxCode,0)),0,OFFSET(Setup!$D$23,MATCH($G206,TaxCode,0),0,1,1))))*IF(ISERROR($F206),0,IF(ISNA(MATCH($F206,TaxCode,0)),0,OFFSET(Setup!$D$23,MATCH($F206,TaxCode,0),0,1,1)))</f>
        <v>0</v>
      </c>
      <c r="N206" s="342">
        <f ca="1">$O206/(1+IF(ISERROR($F206),0,IF(ISNA(MATCH($F206,TaxCode,0)),0,OFFSET(Setup!$D$23,MATCH($F206,TaxCode,0),0,1,1)))+IF(ISERROR($G206),0,IF(ISNA(MATCH($G206,TaxCode,0)),0,OFFSET(Setup!$D$23,MATCH($G206,TaxCode,0),0,1,1))))*IF(ISERROR($G206),0,IF(ISNA(MATCH($G206,TaxCode,0)),0,OFFSET(Setup!$D$23,MATCH($G206,TaxCode,0),0,1,1)))</f>
        <v>0</v>
      </c>
      <c r="O206" s="342">
        <f t="shared" si="12"/>
        <v>0</v>
      </c>
      <c r="P206" s="308" t="str">
        <f t="shared" ca="1" si="13"/>
        <v>-</v>
      </c>
    </row>
    <row r="207" spans="11:16" ht="15.95" customHeight="1" x14ac:dyDescent="0.25">
      <c r="K207" s="308">
        <f t="shared" ca="1" si="11"/>
        <v>0</v>
      </c>
      <c r="L207" s="342" cm="1">
        <f t="array" aca="1" ref="L207" ca="1">O207-IF(ExpTaxCount=2,SUM(M207:N207),SUM(M207:M207))</f>
        <v>0</v>
      </c>
      <c r="M207" s="342">
        <f ca="1">$O207/(1+IF(ISERROR($F207),0,IF(ISNA(MATCH($F207,TaxCode,0)),0,OFFSET(Setup!$D$23,MATCH($F207,TaxCode,0),0,1,1)))+IF(ISERROR($G207),0,IF(ISNA(MATCH($G207,TaxCode,0)),0,OFFSET(Setup!$D$23,MATCH($G207,TaxCode,0),0,1,1))))*IF(ISERROR($F207),0,IF(ISNA(MATCH($F207,TaxCode,0)),0,OFFSET(Setup!$D$23,MATCH($F207,TaxCode,0),0,1,1)))</f>
        <v>0</v>
      </c>
      <c r="N207" s="342">
        <f ca="1">$O207/(1+IF(ISERROR($F207),0,IF(ISNA(MATCH($F207,TaxCode,0)),0,OFFSET(Setup!$D$23,MATCH($F207,TaxCode,0),0,1,1)))+IF(ISERROR($G207),0,IF(ISNA(MATCH($G207,TaxCode,0)),0,OFFSET(Setup!$D$23,MATCH($G207,TaxCode,0),0,1,1))))*IF(ISERROR($G207),0,IF(ISNA(MATCH($G207,TaxCode,0)),0,OFFSET(Setup!$D$23,MATCH($G207,TaxCode,0),0,1,1)))</f>
        <v>0</v>
      </c>
      <c r="O207" s="342">
        <f t="shared" si="12"/>
        <v>0</v>
      </c>
      <c r="P207" s="308" t="str">
        <f t="shared" ca="1" si="13"/>
        <v>-</v>
      </c>
    </row>
    <row r="208" spans="11:16" ht="15.95" customHeight="1" x14ac:dyDescent="0.25">
      <c r="K208" s="308">
        <f t="shared" ca="1" si="11"/>
        <v>0</v>
      </c>
      <c r="L208" s="342" cm="1">
        <f t="array" aca="1" ref="L208" ca="1">O208-IF(ExpTaxCount=2,SUM(M208:N208),SUM(M208:M208))</f>
        <v>0</v>
      </c>
      <c r="M208" s="342">
        <f ca="1">$O208/(1+IF(ISERROR($F208),0,IF(ISNA(MATCH($F208,TaxCode,0)),0,OFFSET(Setup!$D$23,MATCH($F208,TaxCode,0),0,1,1)))+IF(ISERROR($G208),0,IF(ISNA(MATCH($G208,TaxCode,0)),0,OFFSET(Setup!$D$23,MATCH($G208,TaxCode,0),0,1,1))))*IF(ISERROR($F208),0,IF(ISNA(MATCH($F208,TaxCode,0)),0,OFFSET(Setup!$D$23,MATCH($F208,TaxCode,0),0,1,1)))</f>
        <v>0</v>
      </c>
      <c r="N208" s="342">
        <f ca="1">$O208/(1+IF(ISERROR($F208),0,IF(ISNA(MATCH($F208,TaxCode,0)),0,OFFSET(Setup!$D$23,MATCH($F208,TaxCode,0),0,1,1)))+IF(ISERROR($G208),0,IF(ISNA(MATCH($G208,TaxCode,0)),0,OFFSET(Setup!$D$23,MATCH($G208,TaxCode,0),0,1,1))))*IF(ISERROR($G208),0,IF(ISNA(MATCH($G208,TaxCode,0)),0,OFFSET(Setup!$D$23,MATCH($G208,TaxCode,0),0,1,1)))</f>
        <v>0</v>
      </c>
      <c r="O208" s="342">
        <f t="shared" si="12"/>
        <v>0</v>
      </c>
      <c r="P208" s="308" t="str">
        <f t="shared" ca="1" si="13"/>
        <v>-</v>
      </c>
    </row>
    <row r="209" spans="11:16" ht="15.95" customHeight="1" x14ac:dyDescent="0.25">
      <c r="K209" s="308">
        <f t="shared" ca="1" si="11"/>
        <v>0</v>
      </c>
      <c r="L209" s="342" cm="1">
        <f t="array" aca="1" ref="L209" ca="1">O209-IF(ExpTaxCount=2,SUM(M209:N209),SUM(M209:M209))</f>
        <v>0</v>
      </c>
      <c r="M209" s="342">
        <f ca="1">$O209/(1+IF(ISERROR($F209),0,IF(ISNA(MATCH($F209,TaxCode,0)),0,OFFSET(Setup!$D$23,MATCH($F209,TaxCode,0),0,1,1)))+IF(ISERROR($G209),0,IF(ISNA(MATCH($G209,TaxCode,0)),0,OFFSET(Setup!$D$23,MATCH($G209,TaxCode,0),0,1,1))))*IF(ISERROR($F209),0,IF(ISNA(MATCH($F209,TaxCode,0)),0,OFFSET(Setup!$D$23,MATCH($F209,TaxCode,0),0,1,1)))</f>
        <v>0</v>
      </c>
      <c r="N209" s="342">
        <f ca="1">$O209/(1+IF(ISERROR($F209),0,IF(ISNA(MATCH($F209,TaxCode,0)),0,OFFSET(Setup!$D$23,MATCH($F209,TaxCode,0),0,1,1)))+IF(ISERROR($G209),0,IF(ISNA(MATCH($G209,TaxCode,0)),0,OFFSET(Setup!$D$23,MATCH($G209,TaxCode,0),0,1,1))))*IF(ISERROR($G209),0,IF(ISNA(MATCH($G209,TaxCode,0)),0,OFFSET(Setup!$D$23,MATCH($G209,TaxCode,0),0,1,1)))</f>
        <v>0</v>
      </c>
      <c r="O209" s="342">
        <f t="shared" si="12"/>
        <v>0</v>
      </c>
      <c r="P209" s="308" t="str">
        <f t="shared" ca="1" si="13"/>
        <v>-</v>
      </c>
    </row>
    <row r="210" spans="11:16" ht="15.95" customHeight="1" x14ac:dyDescent="0.25">
      <c r="K210" s="308">
        <f t="shared" ca="1" si="11"/>
        <v>0</v>
      </c>
      <c r="L210" s="342" cm="1">
        <f t="array" aca="1" ref="L210" ca="1">O210-IF(ExpTaxCount=2,SUM(M210:N210),SUM(M210:M210))</f>
        <v>0</v>
      </c>
      <c r="M210" s="342">
        <f ca="1">$O210/(1+IF(ISERROR($F210),0,IF(ISNA(MATCH($F210,TaxCode,0)),0,OFFSET(Setup!$D$23,MATCH($F210,TaxCode,0),0,1,1)))+IF(ISERROR($G210),0,IF(ISNA(MATCH($G210,TaxCode,0)),0,OFFSET(Setup!$D$23,MATCH($G210,TaxCode,0),0,1,1))))*IF(ISERROR($F210),0,IF(ISNA(MATCH($F210,TaxCode,0)),0,OFFSET(Setup!$D$23,MATCH($F210,TaxCode,0),0,1,1)))</f>
        <v>0</v>
      </c>
      <c r="N210" s="342">
        <f ca="1">$O210/(1+IF(ISERROR($F210),0,IF(ISNA(MATCH($F210,TaxCode,0)),0,OFFSET(Setup!$D$23,MATCH($F210,TaxCode,0),0,1,1)))+IF(ISERROR($G210),0,IF(ISNA(MATCH($G210,TaxCode,0)),0,OFFSET(Setup!$D$23,MATCH($G210,TaxCode,0),0,1,1))))*IF(ISERROR($G210),0,IF(ISNA(MATCH($G210,TaxCode,0)),0,OFFSET(Setup!$D$23,MATCH($G210,TaxCode,0),0,1,1)))</f>
        <v>0</v>
      </c>
      <c r="O210" s="342">
        <f t="shared" si="12"/>
        <v>0</v>
      </c>
      <c r="P210" s="308" t="str">
        <f t="shared" ca="1" si="13"/>
        <v>-</v>
      </c>
    </row>
    <row r="211" spans="11:16" ht="15.95" customHeight="1" x14ac:dyDescent="0.25">
      <c r="K211" s="308">
        <f t="shared" ca="1" si="11"/>
        <v>0</v>
      </c>
      <c r="L211" s="342" cm="1">
        <f t="array" aca="1" ref="L211" ca="1">O211-IF(ExpTaxCount=2,SUM(M211:N211),SUM(M211:M211))</f>
        <v>0</v>
      </c>
      <c r="M211" s="342">
        <f ca="1">$O211/(1+IF(ISERROR($F211),0,IF(ISNA(MATCH($F211,TaxCode,0)),0,OFFSET(Setup!$D$23,MATCH($F211,TaxCode,0),0,1,1)))+IF(ISERROR($G211),0,IF(ISNA(MATCH($G211,TaxCode,0)),0,OFFSET(Setup!$D$23,MATCH($G211,TaxCode,0),0,1,1))))*IF(ISERROR($F211),0,IF(ISNA(MATCH($F211,TaxCode,0)),0,OFFSET(Setup!$D$23,MATCH($F211,TaxCode,0),0,1,1)))</f>
        <v>0</v>
      </c>
      <c r="N211" s="342">
        <f ca="1">$O211/(1+IF(ISERROR($F211),0,IF(ISNA(MATCH($F211,TaxCode,0)),0,OFFSET(Setup!$D$23,MATCH($F211,TaxCode,0),0,1,1)))+IF(ISERROR($G211),0,IF(ISNA(MATCH($G211,TaxCode,0)),0,OFFSET(Setup!$D$23,MATCH($G211,TaxCode,0),0,1,1))))*IF(ISERROR($G211),0,IF(ISNA(MATCH($G211,TaxCode,0)),0,OFFSET(Setup!$D$23,MATCH($G211,TaxCode,0),0,1,1)))</f>
        <v>0</v>
      </c>
      <c r="O211" s="342">
        <f t="shared" si="12"/>
        <v>0</v>
      </c>
      <c r="P211" s="308" t="str">
        <f t="shared" ca="1" si="13"/>
        <v>-</v>
      </c>
    </row>
    <row r="212" spans="11:16" ht="15.95" customHeight="1" x14ac:dyDescent="0.25">
      <c r="K212" s="308">
        <f t="shared" ca="1" si="11"/>
        <v>0</v>
      </c>
      <c r="L212" s="342" cm="1">
        <f t="array" aca="1" ref="L212" ca="1">O212-IF(ExpTaxCount=2,SUM(M212:N212),SUM(M212:M212))</f>
        <v>0</v>
      </c>
      <c r="M212" s="342">
        <f ca="1">$O212/(1+IF(ISERROR($F212),0,IF(ISNA(MATCH($F212,TaxCode,0)),0,OFFSET(Setup!$D$23,MATCH($F212,TaxCode,0),0,1,1)))+IF(ISERROR($G212),0,IF(ISNA(MATCH($G212,TaxCode,0)),0,OFFSET(Setup!$D$23,MATCH($G212,TaxCode,0),0,1,1))))*IF(ISERROR($F212),0,IF(ISNA(MATCH($F212,TaxCode,0)),0,OFFSET(Setup!$D$23,MATCH($F212,TaxCode,0),0,1,1)))</f>
        <v>0</v>
      </c>
      <c r="N212" s="342">
        <f ca="1">$O212/(1+IF(ISERROR($F212),0,IF(ISNA(MATCH($F212,TaxCode,0)),0,OFFSET(Setup!$D$23,MATCH($F212,TaxCode,0),0,1,1)))+IF(ISERROR($G212),0,IF(ISNA(MATCH($G212,TaxCode,0)),0,OFFSET(Setup!$D$23,MATCH($G212,TaxCode,0),0,1,1))))*IF(ISERROR($G212),0,IF(ISNA(MATCH($G212,TaxCode,0)),0,OFFSET(Setup!$D$23,MATCH($G212,TaxCode,0),0,1,1)))</f>
        <v>0</v>
      </c>
      <c r="O212" s="342">
        <f t="shared" si="12"/>
        <v>0</v>
      </c>
      <c r="P212" s="308" t="str">
        <f t="shared" ca="1" si="13"/>
        <v>-</v>
      </c>
    </row>
    <row r="213" spans="11:16" ht="15.95" customHeight="1" x14ac:dyDescent="0.25">
      <c r="K213" s="308">
        <f t="shared" ca="1" si="11"/>
        <v>0</v>
      </c>
      <c r="L213" s="342" cm="1">
        <f t="array" aca="1" ref="L213" ca="1">O213-IF(ExpTaxCount=2,SUM(M213:N213),SUM(M213:M213))</f>
        <v>0</v>
      </c>
      <c r="M213" s="342">
        <f ca="1">$O213/(1+IF(ISERROR($F213),0,IF(ISNA(MATCH($F213,TaxCode,0)),0,OFFSET(Setup!$D$23,MATCH($F213,TaxCode,0),0,1,1)))+IF(ISERROR($G213),0,IF(ISNA(MATCH($G213,TaxCode,0)),0,OFFSET(Setup!$D$23,MATCH($G213,TaxCode,0),0,1,1))))*IF(ISERROR($F213),0,IF(ISNA(MATCH($F213,TaxCode,0)),0,OFFSET(Setup!$D$23,MATCH($F213,TaxCode,0),0,1,1)))</f>
        <v>0</v>
      </c>
      <c r="N213" s="342">
        <f ca="1">$O213/(1+IF(ISERROR($F213),0,IF(ISNA(MATCH($F213,TaxCode,0)),0,OFFSET(Setup!$D$23,MATCH($F213,TaxCode,0),0,1,1)))+IF(ISERROR($G213),0,IF(ISNA(MATCH($G213,TaxCode,0)),0,OFFSET(Setup!$D$23,MATCH($G213,TaxCode,0),0,1,1))))*IF(ISERROR($G213),0,IF(ISNA(MATCH($G213,TaxCode,0)),0,OFFSET(Setup!$D$23,MATCH($G213,TaxCode,0),0,1,1)))</f>
        <v>0</v>
      </c>
      <c r="O213" s="342">
        <f t="shared" si="12"/>
        <v>0</v>
      </c>
      <c r="P213" s="308" t="str">
        <f t="shared" ca="1" si="13"/>
        <v>-</v>
      </c>
    </row>
    <row r="214" spans="11:16" ht="15.95" customHeight="1" x14ac:dyDescent="0.25">
      <c r="K214" s="308">
        <f t="shared" ca="1" si="11"/>
        <v>0</v>
      </c>
      <c r="L214" s="342" cm="1">
        <f t="array" aca="1" ref="L214" ca="1">O214-IF(ExpTaxCount=2,SUM(M214:N214),SUM(M214:M214))</f>
        <v>0</v>
      </c>
      <c r="M214" s="342">
        <f ca="1">$O214/(1+IF(ISERROR($F214),0,IF(ISNA(MATCH($F214,TaxCode,0)),0,OFFSET(Setup!$D$23,MATCH($F214,TaxCode,0),0,1,1)))+IF(ISERROR($G214),0,IF(ISNA(MATCH($G214,TaxCode,0)),0,OFFSET(Setup!$D$23,MATCH($G214,TaxCode,0),0,1,1))))*IF(ISERROR($F214),0,IF(ISNA(MATCH($F214,TaxCode,0)),0,OFFSET(Setup!$D$23,MATCH($F214,TaxCode,0),0,1,1)))</f>
        <v>0</v>
      </c>
      <c r="N214" s="342">
        <f ca="1">$O214/(1+IF(ISERROR($F214),0,IF(ISNA(MATCH($F214,TaxCode,0)),0,OFFSET(Setup!$D$23,MATCH($F214,TaxCode,0),0,1,1)))+IF(ISERROR($G214),0,IF(ISNA(MATCH($G214,TaxCode,0)),0,OFFSET(Setup!$D$23,MATCH($G214,TaxCode,0),0,1,1))))*IF(ISERROR($G214),0,IF(ISNA(MATCH($G214,TaxCode,0)),0,OFFSET(Setup!$D$23,MATCH($G214,TaxCode,0),0,1,1)))</f>
        <v>0</v>
      </c>
      <c r="O214" s="342">
        <f t="shared" si="12"/>
        <v>0</v>
      </c>
      <c r="P214" s="308" t="str">
        <f t="shared" ca="1" si="13"/>
        <v>-</v>
      </c>
    </row>
    <row r="215" spans="11:16" ht="15.95" customHeight="1" x14ac:dyDescent="0.25">
      <c r="K215" s="308">
        <f t="shared" ca="1" si="11"/>
        <v>0</v>
      </c>
      <c r="L215" s="342" cm="1">
        <f t="array" aca="1" ref="L215" ca="1">O215-IF(ExpTaxCount=2,SUM(M215:N215),SUM(M215:M215))</f>
        <v>0</v>
      </c>
      <c r="M215" s="342">
        <f ca="1">$O215/(1+IF(ISERROR($F215),0,IF(ISNA(MATCH($F215,TaxCode,0)),0,OFFSET(Setup!$D$23,MATCH($F215,TaxCode,0),0,1,1)))+IF(ISERROR($G215),0,IF(ISNA(MATCH($G215,TaxCode,0)),0,OFFSET(Setup!$D$23,MATCH($G215,TaxCode,0),0,1,1))))*IF(ISERROR($F215),0,IF(ISNA(MATCH($F215,TaxCode,0)),0,OFFSET(Setup!$D$23,MATCH($F215,TaxCode,0),0,1,1)))</f>
        <v>0</v>
      </c>
      <c r="N215" s="342">
        <f ca="1">$O215/(1+IF(ISERROR($F215),0,IF(ISNA(MATCH($F215,TaxCode,0)),0,OFFSET(Setup!$D$23,MATCH($F215,TaxCode,0),0,1,1)))+IF(ISERROR($G215),0,IF(ISNA(MATCH($G215,TaxCode,0)),0,OFFSET(Setup!$D$23,MATCH($G215,TaxCode,0),0,1,1))))*IF(ISERROR($G215),0,IF(ISNA(MATCH($G215,TaxCode,0)),0,OFFSET(Setup!$D$23,MATCH($G215,TaxCode,0),0,1,1)))</f>
        <v>0</v>
      </c>
      <c r="O215" s="342">
        <f t="shared" si="12"/>
        <v>0</v>
      </c>
      <c r="P215" s="308" t="str">
        <f t="shared" ca="1" si="13"/>
        <v>-</v>
      </c>
    </row>
    <row r="216" spans="11:16" ht="15.95" customHeight="1" x14ac:dyDescent="0.25">
      <c r="K216" s="308">
        <f t="shared" ca="1" si="11"/>
        <v>0</v>
      </c>
      <c r="L216" s="342" cm="1">
        <f t="array" aca="1" ref="L216" ca="1">O216-IF(ExpTaxCount=2,SUM(M216:N216),SUM(M216:M216))</f>
        <v>0</v>
      </c>
      <c r="M216" s="342">
        <f ca="1">$O216/(1+IF(ISERROR($F216),0,IF(ISNA(MATCH($F216,TaxCode,0)),0,OFFSET(Setup!$D$23,MATCH($F216,TaxCode,0),0,1,1)))+IF(ISERROR($G216),0,IF(ISNA(MATCH($G216,TaxCode,0)),0,OFFSET(Setup!$D$23,MATCH($G216,TaxCode,0),0,1,1))))*IF(ISERROR($F216),0,IF(ISNA(MATCH($F216,TaxCode,0)),0,OFFSET(Setup!$D$23,MATCH($F216,TaxCode,0),0,1,1)))</f>
        <v>0</v>
      </c>
      <c r="N216" s="342">
        <f ca="1">$O216/(1+IF(ISERROR($F216),0,IF(ISNA(MATCH($F216,TaxCode,0)),0,OFFSET(Setup!$D$23,MATCH($F216,TaxCode,0),0,1,1)))+IF(ISERROR($G216),0,IF(ISNA(MATCH($G216,TaxCode,0)),0,OFFSET(Setup!$D$23,MATCH($G216,TaxCode,0),0,1,1))))*IF(ISERROR($G216),0,IF(ISNA(MATCH($G216,TaxCode,0)),0,OFFSET(Setup!$D$23,MATCH($G216,TaxCode,0),0,1,1)))</f>
        <v>0</v>
      </c>
      <c r="O216" s="342">
        <f t="shared" si="12"/>
        <v>0</v>
      </c>
      <c r="P216" s="308" t="str">
        <f t="shared" ca="1" si="13"/>
        <v>-</v>
      </c>
    </row>
    <row r="217" spans="11:16" ht="15.95" customHeight="1" x14ac:dyDescent="0.25">
      <c r="K217" s="308">
        <f t="shared" ca="1" si="11"/>
        <v>0</v>
      </c>
      <c r="L217" s="342" cm="1">
        <f t="array" aca="1" ref="L217" ca="1">O217-IF(ExpTaxCount=2,SUM(M217:N217),SUM(M217:M217))</f>
        <v>0</v>
      </c>
      <c r="M217" s="342">
        <f ca="1">$O217/(1+IF(ISERROR($F217),0,IF(ISNA(MATCH($F217,TaxCode,0)),0,OFFSET(Setup!$D$23,MATCH($F217,TaxCode,0),0,1,1)))+IF(ISERROR($G217),0,IF(ISNA(MATCH($G217,TaxCode,0)),0,OFFSET(Setup!$D$23,MATCH($G217,TaxCode,0),0,1,1))))*IF(ISERROR($F217),0,IF(ISNA(MATCH($F217,TaxCode,0)),0,OFFSET(Setup!$D$23,MATCH($F217,TaxCode,0),0,1,1)))</f>
        <v>0</v>
      </c>
      <c r="N217" s="342">
        <f ca="1">$O217/(1+IF(ISERROR($F217),0,IF(ISNA(MATCH($F217,TaxCode,0)),0,OFFSET(Setup!$D$23,MATCH($F217,TaxCode,0),0,1,1)))+IF(ISERROR($G217),0,IF(ISNA(MATCH($G217,TaxCode,0)),0,OFFSET(Setup!$D$23,MATCH($G217,TaxCode,0),0,1,1))))*IF(ISERROR($G217),0,IF(ISNA(MATCH($G217,TaxCode,0)),0,OFFSET(Setup!$D$23,MATCH($G217,TaxCode,0),0,1,1)))</f>
        <v>0</v>
      </c>
      <c r="O217" s="342">
        <f t="shared" si="12"/>
        <v>0</v>
      </c>
      <c r="P217" s="308" t="str">
        <f t="shared" ca="1" si="13"/>
        <v>-</v>
      </c>
    </row>
    <row r="218" spans="11:16" ht="15.95" customHeight="1" x14ac:dyDescent="0.25">
      <c r="K218" s="308">
        <f t="shared" ca="1" si="11"/>
        <v>0</v>
      </c>
      <c r="L218" s="342" cm="1">
        <f t="array" aca="1" ref="L218" ca="1">O218-IF(ExpTaxCount=2,SUM(M218:N218),SUM(M218:M218))</f>
        <v>0</v>
      </c>
      <c r="M218" s="342">
        <f ca="1">$O218/(1+IF(ISERROR($F218),0,IF(ISNA(MATCH($F218,TaxCode,0)),0,OFFSET(Setup!$D$23,MATCH($F218,TaxCode,0),0,1,1)))+IF(ISERROR($G218),0,IF(ISNA(MATCH($G218,TaxCode,0)),0,OFFSET(Setup!$D$23,MATCH($G218,TaxCode,0),0,1,1))))*IF(ISERROR($F218),0,IF(ISNA(MATCH($F218,TaxCode,0)),0,OFFSET(Setup!$D$23,MATCH($F218,TaxCode,0),0,1,1)))</f>
        <v>0</v>
      </c>
      <c r="N218" s="342">
        <f ca="1">$O218/(1+IF(ISERROR($F218),0,IF(ISNA(MATCH($F218,TaxCode,0)),0,OFFSET(Setup!$D$23,MATCH($F218,TaxCode,0),0,1,1)))+IF(ISERROR($G218),0,IF(ISNA(MATCH($G218,TaxCode,0)),0,OFFSET(Setup!$D$23,MATCH($G218,TaxCode,0),0,1,1))))*IF(ISERROR($G218),0,IF(ISNA(MATCH($G218,TaxCode,0)),0,OFFSET(Setup!$D$23,MATCH($G218,TaxCode,0),0,1,1)))</f>
        <v>0</v>
      </c>
      <c r="O218" s="342">
        <f t="shared" si="12"/>
        <v>0</v>
      </c>
      <c r="P218" s="308" t="str">
        <f t="shared" ca="1" si="13"/>
        <v>-</v>
      </c>
    </row>
    <row r="219" spans="11:16" ht="15.95" customHeight="1" x14ac:dyDescent="0.25">
      <c r="K219" s="308">
        <f t="shared" ca="1" si="11"/>
        <v>0</v>
      </c>
      <c r="L219" s="342" cm="1">
        <f t="array" aca="1" ref="L219" ca="1">O219-IF(ExpTaxCount=2,SUM(M219:N219),SUM(M219:M219))</f>
        <v>0</v>
      </c>
      <c r="M219" s="342">
        <f ca="1">$O219/(1+IF(ISERROR($F219),0,IF(ISNA(MATCH($F219,TaxCode,0)),0,OFFSET(Setup!$D$23,MATCH($F219,TaxCode,0),0,1,1)))+IF(ISERROR($G219),0,IF(ISNA(MATCH($G219,TaxCode,0)),0,OFFSET(Setup!$D$23,MATCH($G219,TaxCode,0),0,1,1))))*IF(ISERROR($F219),0,IF(ISNA(MATCH($F219,TaxCode,0)),0,OFFSET(Setup!$D$23,MATCH($F219,TaxCode,0),0,1,1)))</f>
        <v>0</v>
      </c>
      <c r="N219" s="342">
        <f ca="1">$O219/(1+IF(ISERROR($F219),0,IF(ISNA(MATCH($F219,TaxCode,0)),0,OFFSET(Setup!$D$23,MATCH($F219,TaxCode,0),0,1,1)))+IF(ISERROR($G219),0,IF(ISNA(MATCH($G219,TaxCode,0)),0,OFFSET(Setup!$D$23,MATCH($G219,TaxCode,0),0,1,1))))*IF(ISERROR($G219),0,IF(ISNA(MATCH($G219,TaxCode,0)),0,OFFSET(Setup!$D$23,MATCH($G219,TaxCode,0),0,1,1)))</f>
        <v>0</v>
      </c>
      <c r="O219" s="342">
        <f t="shared" si="12"/>
        <v>0</v>
      </c>
      <c r="P219" s="308" t="str">
        <f t="shared" ca="1" si="13"/>
        <v>-</v>
      </c>
    </row>
    <row r="220" spans="11:16" ht="15.95" customHeight="1" x14ac:dyDescent="0.25">
      <c r="K220" s="308">
        <f t="shared" ca="1" si="11"/>
        <v>0</v>
      </c>
      <c r="L220" s="342" cm="1">
        <f t="array" aca="1" ref="L220" ca="1">O220-IF(ExpTaxCount=2,SUM(M220:N220),SUM(M220:M220))</f>
        <v>0</v>
      </c>
      <c r="M220" s="342">
        <f ca="1">$O220/(1+IF(ISERROR($F220),0,IF(ISNA(MATCH($F220,TaxCode,0)),0,OFFSET(Setup!$D$23,MATCH($F220,TaxCode,0),0,1,1)))+IF(ISERROR($G220),0,IF(ISNA(MATCH($G220,TaxCode,0)),0,OFFSET(Setup!$D$23,MATCH($G220,TaxCode,0),0,1,1))))*IF(ISERROR($F220),0,IF(ISNA(MATCH($F220,TaxCode,0)),0,OFFSET(Setup!$D$23,MATCH($F220,TaxCode,0),0,1,1)))</f>
        <v>0</v>
      </c>
      <c r="N220" s="342">
        <f ca="1">$O220/(1+IF(ISERROR($F220),0,IF(ISNA(MATCH($F220,TaxCode,0)),0,OFFSET(Setup!$D$23,MATCH($F220,TaxCode,0),0,1,1)))+IF(ISERROR($G220),0,IF(ISNA(MATCH($G220,TaxCode,0)),0,OFFSET(Setup!$D$23,MATCH($G220,TaxCode,0),0,1,1))))*IF(ISERROR($G220),0,IF(ISNA(MATCH($G220,TaxCode,0)),0,OFFSET(Setup!$D$23,MATCH($G220,TaxCode,0),0,1,1)))</f>
        <v>0</v>
      </c>
      <c r="O220" s="342">
        <f t="shared" si="12"/>
        <v>0</v>
      </c>
      <c r="P220" s="308" t="str">
        <f t="shared" ca="1" si="13"/>
        <v>-</v>
      </c>
    </row>
    <row r="221" spans="11:16" ht="15.95" customHeight="1" x14ac:dyDescent="0.25">
      <c r="K221" s="308">
        <f t="shared" ca="1" si="11"/>
        <v>0</v>
      </c>
      <c r="L221" s="342" cm="1">
        <f t="array" aca="1" ref="L221" ca="1">O221-IF(ExpTaxCount=2,SUM(M221:N221),SUM(M221:M221))</f>
        <v>0</v>
      </c>
      <c r="M221" s="342">
        <f ca="1">$O221/(1+IF(ISERROR($F221),0,IF(ISNA(MATCH($F221,TaxCode,0)),0,OFFSET(Setup!$D$23,MATCH($F221,TaxCode,0),0,1,1)))+IF(ISERROR($G221),0,IF(ISNA(MATCH($G221,TaxCode,0)),0,OFFSET(Setup!$D$23,MATCH($G221,TaxCode,0),0,1,1))))*IF(ISERROR($F221),0,IF(ISNA(MATCH($F221,TaxCode,0)),0,OFFSET(Setup!$D$23,MATCH($F221,TaxCode,0),0,1,1)))</f>
        <v>0</v>
      </c>
      <c r="N221" s="342">
        <f ca="1">$O221/(1+IF(ISERROR($F221),0,IF(ISNA(MATCH($F221,TaxCode,0)),0,OFFSET(Setup!$D$23,MATCH($F221,TaxCode,0),0,1,1)))+IF(ISERROR($G221),0,IF(ISNA(MATCH($G221,TaxCode,0)),0,OFFSET(Setup!$D$23,MATCH($G221,TaxCode,0),0,1,1))))*IF(ISERROR($G221),0,IF(ISNA(MATCH($G221,TaxCode,0)),0,OFFSET(Setup!$D$23,MATCH($G221,TaxCode,0),0,1,1)))</f>
        <v>0</v>
      </c>
      <c r="O221" s="342">
        <f t="shared" si="12"/>
        <v>0</v>
      </c>
      <c r="P221" s="308" t="str">
        <f t="shared" ca="1" si="13"/>
        <v>-</v>
      </c>
    </row>
    <row r="222" spans="11:16" ht="15.95" customHeight="1" x14ac:dyDescent="0.25">
      <c r="K222" s="308">
        <f t="shared" ca="1" si="11"/>
        <v>0</v>
      </c>
      <c r="L222" s="342" cm="1">
        <f t="array" aca="1" ref="L222" ca="1">O222-IF(ExpTaxCount=2,SUM(M222:N222),SUM(M222:M222))</f>
        <v>0</v>
      </c>
      <c r="M222" s="342">
        <f ca="1">$O222/(1+IF(ISERROR($F222),0,IF(ISNA(MATCH($F222,TaxCode,0)),0,OFFSET(Setup!$D$23,MATCH($F222,TaxCode,0),0,1,1)))+IF(ISERROR($G222),0,IF(ISNA(MATCH($G222,TaxCode,0)),0,OFFSET(Setup!$D$23,MATCH($G222,TaxCode,0),0,1,1))))*IF(ISERROR($F222),0,IF(ISNA(MATCH($F222,TaxCode,0)),0,OFFSET(Setup!$D$23,MATCH($F222,TaxCode,0),0,1,1)))</f>
        <v>0</v>
      </c>
      <c r="N222" s="342">
        <f ca="1">$O222/(1+IF(ISERROR($F222),0,IF(ISNA(MATCH($F222,TaxCode,0)),0,OFFSET(Setup!$D$23,MATCH($F222,TaxCode,0),0,1,1)))+IF(ISERROR($G222),0,IF(ISNA(MATCH($G222,TaxCode,0)),0,OFFSET(Setup!$D$23,MATCH($G222,TaxCode,0),0,1,1))))*IF(ISERROR($G222),0,IF(ISNA(MATCH($G222,TaxCode,0)),0,OFFSET(Setup!$D$23,MATCH($G222,TaxCode,0),0,1,1)))</f>
        <v>0</v>
      </c>
      <c r="O222" s="342">
        <f t="shared" si="12"/>
        <v>0</v>
      </c>
      <c r="P222" s="308" t="str">
        <f t="shared" ca="1" si="13"/>
        <v>-</v>
      </c>
    </row>
    <row r="223" spans="11:16" ht="15.95" customHeight="1" x14ac:dyDescent="0.25">
      <c r="K223" s="308">
        <f t="shared" ca="1" si="11"/>
        <v>0</v>
      </c>
      <c r="L223" s="342" cm="1">
        <f t="array" aca="1" ref="L223" ca="1">O223-IF(ExpTaxCount=2,SUM(M223:N223),SUM(M223:M223))</f>
        <v>0</v>
      </c>
      <c r="M223" s="342">
        <f ca="1">$O223/(1+IF(ISERROR($F223),0,IF(ISNA(MATCH($F223,TaxCode,0)),0,OFFSET(Setup!$D$23,MATCH($F223,TaxCode,0),0,1,1)))+IF(ISERROR($G223),0,IF(ISNA(MATCH($G223,TaxCode,0)),0,OFFSET(Setup!$D$23,MATCH($G223,TaxCode,0),0,1,1))))*IF(ISERROR($F223),0,IF(ISNA(MATCH($F223,TaxCode,0)),0,OFFSET(Setup!$D$23,MATCH($F223,TaxCode,0),0,1,1)))</f>
        <v>0</v>
      </c>
      <c r="N223" s="342">
        <f ca="1">$O223/(1+IF(ISERROR($F223),0,IF(ISNA(MATCH($F223,TaxCode,0)),0,OFFSET(Setup!$D$23,MATCH($F223,TaxCode,0),0,1,1)))+IF(ISERROR($G223),0,IF(ISNA(MATCH($G223,TaxCode,0)),0,OFFSET(Setup!$D$23,MATCH($G223,TaxCode,0),0,1,1))))*IF(ISERROR($G223),0,IF(ISNA(MATCH($G223,TaxCode,0)),0,OFFSET(Setup!$D$23,MATCH($G223,TaxCode,0),0,1,1)))</f>
        <v>0</v>
      </c>
      <c r="O223" s="342">
        <f t="shared" si="12"/>
        <v>0</v>
      </c>
      <c r="P223" s="308" t="str">
        <f t="shared" ca="1" si="13"/>
        <v>-</v>
      </c>
    </row>
    <row r="224" spans="11:16" ht="15.95" customHeight="1" x14ac:dyDescent="0.25">
      <c r="K224" s="308">
        <f t="shared" ca="1" si="11"/>
        <v>0</v>
      </c>
      <c r="L224" s="342" cm="1">
        <f t="array" aca="1" ref="L224" ca="1">O224-IF(ExpTaxCount=2,SUM(M224:N224),SUM(M224:M224))</f>
        <v>0</v>
      </c>
      <c r="M224" s="342">
        <f ca="1">$O224/(1+IF(ISERROR($F224),0,IF(ISNA(MATCH($F224,TaxCode,0)),0,OFFSET(Setup!$D$23,MATCH($F224,TaxCode,0),0,1,1)))+IF(ISERROR($G224),0,IF(ISNA(MATCH($G224,TaxCode,0)),0,OFFSET(Setup!$D$23,MATCH($G224,TaxCode,0),0,1,1))))*IF(ISERROR($F224),0,IF(ISNA(MATCH($F224,TaxCode,0)),0,OFFSET(Setup!$D$23,MATCH($F224,TaxCode,0),0,1,1)))</f>
        <v>0</v>
      </c>
      <c r="N224" s="342">
        <f ca="1">$O224/(1+IF(ISERROR($F224),0,IF(ISNA(MATCH($F224,TaxCode,0)),0,OFFSET(Setup!$D$23,MATCH($F224,TaxCode,0),0,1,1)))+IF(ISERROR($G224),0,IF(ISNA(MATCH($G224,TaxCode,0)),0,OFFSET(Setup!$D$23,MATCH($G224,TaxCode,0),0,1,1))))*IF(ISERROR($G224),0,IF(ISNA(MATCH($G224,TaxCode,0)),0,OFFSET(Setup!$D$23,MATCH($G224,TaxCode,0),0,1,1)))</f>
        <v>0</v>
      </c>
      <c r="O224" s="342">
        <f t="shared" si="12"/>
        <v>0</v>
      </c>
      <c r="P224" s="308" t="str">
        <f t="shared" ca="1" si="13"/>
        <v>-</v>
      </c>
    </row>
    <row r="225" spans="11:16" ht="15.95" customHeight="1" x14ac:dyDescent="0.25">
      <c r="K225" s="308">
        <f t="shared" ca="1" si="11"/>
        <v>0</v>
      </c>
      <c r="L225" s="342" cm="1">
        <f t="array" aca="1" ref="L225" ca="1">O225-IF(ExpTaxCount=2,SUM(M225:N225),SUM(M225:M225))</f>
        <v>0</v>
      </c>
      <c r="M225" s="342">
        <f ca="1">$O225/(1+IF(ISERROR($F225),0,IF(ISNA(MATCH($F225,TaxCode,0)),0,OFFSET(Setup!$D$23,MATCH($F225,TaxCode,0),0,1,1)))+IF(ISERROR($G225),0,IF(ISNA(MATCH($G225,TaxCode,0)),0,OFFSET(Setup!$D$23,MATCH($G225,TaxCode,0),0,1,1))))*IF(ISERROR($F225),0,IF(ISNA(MATCH($F225,TaxCode,0)),0,OFFSET(Setup!$D$23,MATCH($F225,TaxCode,0),0,1,1)))</f>
        <v>0</v>
      </c>
      <c r="N225" s="342">
        <f ca="1">$O225/(1+IF(ISERROR($F225),0,IF(ISNA(MATCH($F225,TaxCode,0)),0,OFFSET(Setup!$D$23,MATCH($F225,TaxCode,0),0,1,1)))+IF(ISERROR($G225),0,IF(ISNA(MATCH($G225,TaxCode,0)),0,OFFSET(Setup!$D$23,MATCH($G225,TaxCode,0),0,1,1))))*IF(ISERROR($G225),0,IF(ISNA(MATCH($G225,TaxCode,0)),0,OFFSET(Setup!$D$23,MATCH($G225,TaxCode,0),0,1,1)))</f>
        <v>0</v>
      </c>
      <c r="O225" s="342">
        <f t="shared" si="12"/>
        <v>0</v>
      </c>
      <c r="P225" s="308" t="str">
        <f t="shared" ca="1" si="13"/>
        <v>-</v>
      </c>
    </row>
    <row r="226" spans="11:16" ht="15.95" customHeight="1" x14ac:dyDescent="0.25">
      <c r="K226" s="308">
        <f t="shared" ca="1" si="11"/>
        <v>0</v>
      </c>
      <c r="L226" s="342" cm="1">
        <f t="array" aca="1" ref="L226" ca="1">O226-IF(ExpTaxCount=2,SUM(M226:N226),SUM(M226:M226))</f>
        <v>0</v>
      </c>
      <c r="M226" s="342">
        <f ca="1">$O226/(1+IF(ISERROR($F226),0,IF(ISNA(MATCH($F226,TaxCode,0)),0,OFFSET(Setup!$D$23,MATCH($F226,TaxCode,0),0,1,1)))+IF(ISERROR($G226),0,IF(ISNA(MATCH($G226,TaxCode,0)),0,OFFSET(Setup!$D$23,MATCH($G226,TaxCode,0),0,1,1))))*IF(ISERROR($F226),0,IF(ISNA(MATCH($F226,TaxCode,0)),0,OFFSET(Setup!$D$23,MATCH($F226,TaxCode,0),0,1,1)))</f>
        <v>0</v>
      </c>
      <c r="N226" s="342">
        <f ca="1">$O226/(1+IF(ISERROR($F226),0,IF(ISNA(MATCH($F226,TaxCode,0)),0,OFFSET(Setup!$D$23,MATCH($F226,TaxCode,0),0,1,1)))+IF(ISERROR($G226),0,IF(ISNA(MATCH($G226,TaxCode,0)),0,OFFSET(Setup!$D$23,MATCH($G226,TaxCode,0),0,1,1))))*IF(ISERROR($G226),0,IF(ISNA(MATCH($G226,TaxCode,0)),0,OFFSET(Setup!$D$23,MATCH($G226,TaxCode,0),0,1,1)))</f>
        <v>0</v>
      </c>
      <c r="O226" s="342">
        <f t="shared" si="12"/>
        <v>0</v>
      </c>
      <c r="P226" s="308" t="str">
        <f t="shared" ca="1" si="13"/>
        <v>-</v>
      </c>
    </row>
    <row r="227" spans="11:16" ht="15.95" customHeight="1" x14ac:dyDescent="0.25">
      <c r="K227" s="308">
        <f t="shared" ca="1" si="11"/>
        <v>0</v>
      </c>
      <c r="L227" s="342" cm="1">
        <f t="array" aca="1" ref="L227" ca="1">O227-IF(ExpTaxCount=2,SUM(M227:N227),SUM(M227:M227))</f>
        <v>0</v>
      </c>
      <c r="M227" s="342">
        <f ca="1">$O227/(1+IF(ISERROR($F227),0,IF(ISNA(MATCH($F227,TaxCode,0)),0,OFFSET(Setup!$D$23,MATCH($F227,TaxCode,0),0,1,1)))+IF(ISERROR($G227),0,IF(ISNA(MATCH($G227,TaxCode,0)),0,OFFSET(Setup!$D$23,MATCH($G227,TaxCode,0),0,1,1))))*IF(ISERROR($F227),0,IF(ISNA(MATCH($F227,TaxCode,0)),0,OFFSET(Setup!$D$23,MATCH($F227,TaxCode,0),0,1,1)))</f>
        <v>0</v>
      </c>
      <c r="N227" s="342">
        <f ca="1">$O227/(1+IF(ISERROR($F227),0,IF(ISNA(MATCH($F227,TaxCode,0)),0,OFFSET(Setup!$D$23,MATCH($F227,TaxCode,0),0,1,1)))+IF(ISERROR($G227),0,IF(ISNA(MATCH($G227,TaxCode,0)),0,OFFSET(Setup!$D$23,MATCH($G227,TaxCode,0),0,1,1))))*IF(ISERROR($G227),0,IF(ISNA(MATCH($G227,TaxCode,0)),0,OFFSET(Setup!$D$23,MATCH($G227,TaxCode,0),0,1,1)))</f>
        <v>0</v>
      </c>
      <c r="O227" s="342">
        <f t="shared" si="12"/>
        <v>0</v>
      </c>
      <c r="P227" s="308" t="str">
        <f t="shared" ca="1" si="13"/>
        <v>-</v>
      </c>
    </row>
    <row r="228" spans="11:16" ht="15.95" customHeight="1" x14ac:dyDescent="0.25">
      <c r="K228" s="308">
        <f t="shared" ca="1" si="11"/>
        <v>0</v>
      </c>
      <c r="L228" s="342" cm="1">
        <f t="array" aca="1" ref="L228" ca="1">O228-IF(ExpTaxCount=2,SUM(M228:N228),SUM(M228:M228))</f>
        <v>0</v>
      </c>
      <c r="M228" s="342">
        <f ca="1">$O228/(1+IF(ISERROR($F228),0,IF(ISNA(MATCH($F228,TaxCode,0)),0,OFFSET(Setup!$D$23,MATCH($F228,TaxCode,0),0,1,1)))+IF(ISERROR($G228),0,IF(ISNA(MATCH($G228,TaxCode,0)),0,OFFSET(Setup!$D$23,MATCH($G228,TaxCode,0),0,1,1))))*IF(ISERROR($F228),0,IF(ISNA(MATCH($F228,TaxCode,0)),0,OFFSET(Setup!$D$23,MATCH($F228,TaxCode,0),0,1,1)))</f>
        <v>0</v>
      </c>
      <c r="N228" s="342">
        <f ca="1">$O228/(1+IF(ISERROR($F228),0,IF(ISNA(MATCH($F228,TaxCode,0)),0,OFFSET(Setup!$D$23,MATCH($F228,TaxCode,0),0,1,1)))+IF(ISERROR($G228),0,IF(ISNA(MATCH($G228,TaxCode,0)),0,OFFSET(Setup!$D$23,MATCH($G228,TaxCode,0),0,1,1))))*IF(ISERROR($G228),0,IF(ISNA(MATCH($G228,TaxCode,0)),0,OFFSET(Setup!$D$23,MATCH($G228,TaxCode,0),0,1,1)))</f>
        <v>0</v>
      </c>
      <c r="O228" s="342">
        <f t="shared" si="12"/>
        <v>0</v>
      </c>
      <c r="P228" s="308" t="str">
        <f t="shared" ca="1" si="13"/>
        <v>-</v>
      </c>
    </row>
    <row r="229" spans="11:16" ht="15.95" customHeight="1" x14ac:dyDescent="0.25">
      <c r="K229" s="308">
        <f t="shared" ca="1" si="11"/>
        <v>0</v>
      </c>
      <c r="L229" s="342" cm="1">
        <f t="array" aca="1" ref="L229" ca="1">O229-IF(ExpTaxCount=2,SUM(M229:N229),SUM(M229:M229))</f>
        <v>0</v>
      </c>
      <c r="M229" s="342">
        <f ca="1">$O229/(1+IF(ISERROR($F229),0,IF(ISNA(MATCH($F229,TaxCode,0)),0,OFFSET(Setup!$D$23,MATCH($F229,TaxCode,0),0,1,1)))+IF(ISERROR($G229),0,IF(ISNA(MATCH($G229,TaxCode,0)),0,OFFSET(Setup!$D$23,MATCH($G229,TaxCode,0),0,1,1))))*IF(ISERROR($F229),0,IF(ISNA(MATCH($F229,TaxCode,0)),0,OFFSET(Setup!$D$23,MATCH($F229,TaxCode,0),0,1,1)))</f>
        <v>0</v>
      </c>
      <c r="N229" s="342">
        <f ca="1">$O229/(1+IF(ISERROR($F229),0,IF(ISNA(MATCH($F229,TaxCode,0)),0,OFFSET(Setup!$D$23,MATCH($F229,TaxCode,0),0,1,1)))+IF(ISERROR($G229),0,IF(ISNA(MATCH($G229,TaxCode,0)),0,OFFSET(Setup!$D$23,MATCH($G229,TaxCode,0),0,1,1))))*IF(ISERROR($G229),0,IF(ISNA(MATCH($G229,TaxCode,0)),0,OFFSET(Setup!$D$23,MATCH($G229,TaxCode,0),0,1,1)))</f>
        <v>0</v>
      </c>
      <c r="O229" s="342">
        <f t="shared" si="12"/>
        <v>0</v>
      </c>
      <c r="P229" s="308" t="str">
        <f t="shared" ca="1" si="13"/>
        <v>-</v>
      </c>
    </row>
    <row r="230" spans="11:16" ht="15.95" customHeight="1" x14ac:dyDescent="0.25">
      <c r="K230" s="308">
        <f t="shared" ca="1" si="11"/>
        <v>0</v>
      </c>
      <c r="L230" s="342" cm="1">
        <f t="array" aca="1" ref="L230" ca="1">O230-IF(ExpTaxCount=2,SUM(M230:N230),SUM(M230:M230))</f>
        <v>0</v>
      </c>
      <c r="M230" s="342">
        <f ca="1">$O230/(1+IF(ISERROR($F230),0,IF(ISNA(MATCH($F230,TaxCode,0)),0,OFFSET(Setup!$D$23,MATCH($F230,TaxCode,0),0,1,1)))+IF(ISERROR($G230),0,IF(ISNA(MATCH($G230,TaxCode,0)),0,OFFSET(Setup!$D$23,MATCH($G230,TaxCode,0),0,1,1))))*IF(ISERROR($F230),0,IF(ISNA(MATCH($F230,TaxCode,0)),0,OFFSET(Setup!$D$23,MATCH($F230,TaxCode,0),0,1,1)))</f>
        <v>0</v>
      </c>
      <c r="N230" s="342">
        <f ca="1">$O230/(1+IF(ISERROR($F230),0,IF(ISNA(MATCH($F230,TaxCode,0)),0,OFFSET(Setup!$D$23,MATCH($F230,TaxCode,0),0,1,1)))+IF(ISERROR($G230),0,IF(ISNA(MATCH($G230,TaxCode,0)),0,OFFSET(Setup!$D$23,MATCH($G230,TaxCode,0),0,1,1))))*IF(ISERROR($G230),0,IF(ISNA(MATCH($G230,TaxCode,0)),0,OFFSET(Setup!$D$23,MATCH($G230,TaxCode,0),0,1,1)))</f>
        <v>0</v>
      </c>
      <c r="O230" s="342">
        <f t="shared" si="12"/>
        <v>0</v>
      </c>
      <c r="P230" s="308" t="str">
        <f t="shared" ca="1" si="13"/>
        <v>-</v>
      </c>
    </row>
    <row r="231" spans="11:16" ht="15.95" customHeight="1" x14ac:dyDescent="0.25">
      <c r="K231" s="308">
        <f t="shared" ca="1" si="11"/>
        <v>0</v>
      </c>
      <c r="L231" s="342" cm="1">
        <f t="array" aca="1" ref="L231" ca="1">O231-IF(ExpTaxCount=2,SUM(M231:N231),SUM(M231:M231))</f>
        <v>0</v>
      </c>
      <c r="M231" s="342">
        <f ca="1">$O231/(1+IF(ISERROR($F231),0,IF(ISNA(MATCH($F231,TaxCode,0)),0,OFFSET(Setup!$D$23,MATCH($F231,TaxCode,0),0,1,1)))+IF(ISERROR($G231),0,IF(ISNA(MATCH($G231,TaxCode,0)),0,OFFSET(Setup!$D$23,MATCH($G231,TaxCode,0),0,1,1))))*IF(ISERROR($F231),0,IF(ISNA(MATCH($F231,TaxCode,0)),0,OFFSET(Setup!$D$23,MATCH($F231,TaxCode,0),0,1,1)))</f>
        <v>0</v>
      </c>
      <c r="N231" s="342">
        <f ca="1">$O231/(1+IF(ISERROR($F231),0,IF(ISNA(MATCH($F231,TaxCode,0)),0,OFFSET(Setup!$D$23,MATCH($F231,TaxCode,0),0,1,1)))+IF(ISERROR($G231),0,IF(ISNA(MATCH($G231,TaxCode,0)),0,OFFSET(Setup!$D$23,MATCH($G231,TaxCode,0),0,1,1))))*IF(ISERROR($G231),0,IF(ISNA(MATCH($G231,TaxCode,0)),0,OFFSET(Setup!$D$23,MATCH($G231,TaxCode,0),0,1,1)))</f>
        <v>0</v>
      </c>
      <c r="O231" s="342">
        <f t="shared" si="12"/>
        <v>0</v>
      </c>
      <c r="P231" s="308" t="str">
        <f t="shared" ca="1" si="13"/>
        <v>-</v>
      </c>
    </row>
    <row r="232" spans="11:16" ht="15.95" customHeight="1" x14ac:dyDescent="0.25">
      <c r="K232" s="308">
        <f t="shared" ca="1" si="11"/>
        <v>0</v>
      </c>
      <c r="L232" s="342" cm="1">
        <f t="array" aca="1" ref="L232" ca="1">O232-IF(ExpTaxCount=2,SUM(M232:N232),SUM(M232:M232))</f>
        <v>0</v>
      </c>
      <c r="M232" s="342">
        <f ca="1">$O232/(1+IF(ISERROR($F232),0,IF(ISNA(MATCH($F232,TaxCode,0)),0,OFFSET(Setup!$D$23,MATCH($F232,TaxCode,0),0,1,1)))+IF(ISERROR($G232),0,IF(ISNA(MATCH($G232,TaxCode,0)),0,OFFSET(Setup!$D$23,MATCH($G232,TaxCode,0),0,1,1))))*IF(ISERROR($F232),0,IF(ISNA(MATCH($F232,TaxCode,0)),0,OFFSET(Setup!$D$23,MATCH($F232,TaxCode,0),0,1,1)))</f>
        <v>0</v>
      </c>
      <c r="N232" s="342">
        <f ca="1">$O232/(1+IF(ISERROR($F232),0,IF(ISNA(MATCH($F232,TaxCode,0)),0,OFFSET(Setup!$D$23,MATCH($F232,TaxCode,0),0,1,1)))+IF(ISERROR($G232),0,IF(ISNA(MATCH($G232,TaxCode,0)),0,OFFSET(Setup!$D$23,MATCH($G232,TaxCode,0),0,1,1))))*IF(ISERROR($G232),0,IF(ISNA(MATCH($G232,TaxCode,0)),0,OFFSET(Setup!$D$23,MATCH($G232,TaxCode,0),0,1,1)))</f>
        <v>0</v>
      </c>
      <c r="O232" s="342">
        <f t="shared" si="12"/>
        <v>0</v>
      </c>
      <c r="P232" s="308" t="str">
        <f t="shared" ca="1" si="13"/>
        <v>-</v>
      </c>
    </row>
    <row r="233" spans="11:16" ht="15.95" customHeight="1" x14ac:dyDescent="0.25">
      <c r="K233" s="308">
        <f t="shared" ca="1" si="11"/>
        <v>0</v>
      </c>
      <c r="L233" s="342" cm="1">
        <f t="array" aca="1" ref="L233" ca="1">O233-IF(ExpTaxCount=2,SUM(M233:N233),SUM(M233:M233))</f>
        <v>0</v>
      </c>
      <c r="M233" s="342">
        <f ca="1">$O233/(1+IF(ISERROR($F233),0,IF(ISNA(MATCH($F233,TaxCode,0)),0,OFFSET(Setup!$D$23,MATCH($F233,TaxCode,0),0,1,1)))+IF(ISERROR($G233),0,IF(ISNA(MATCH($G233,TaxCode,0)),0,OFFSET(Setup!$D$23,MATCH($G233,TaxCode,0),0,1,1))))*IF(ISERROR($F233),0,IF(ISNA(MATCH($F233,TaxCode,0)),0,OFFSET(Setup!$D$23,MATCH($F233,TaxCode,0),0,1,1)))</f>
        <v>0</v>
      </c>
      <c r="N233" s="342">
        <f ca="1">$O233/(1+IF(ISERROR($F233),0,IF(ISNA(MATCH($F233,TaxCode,0)),0,OFFSET(Setup!$D$23,MATCH($F233,TaxCode,0),0,1,1)))+IF(ISERROR($G233),0,IF(ISNA(MATCH($G233,TaxCode,0)),0,OFFSET(Setup!$D$23,MATCH($G233,TaxCode,0),0,1,1))))*IF(ISERROR($G233),0,IF(ISNA(MATCH($G233,TaxCode,0)),0,OFFSET(Setup!$D$23,MATCH($G233,TaxCode,0),0,1,1)))</f>
        <v>0</v>
      </c>
      <c r="O233" s="342">
        <f t="shared" si="12"/>
        <v>0</v>
      </c>
      <c r="P233" s="308" t="str">
        <f t="shared" ca="1" si="13"/>
        <v>-</v>
      </c>
    </row>
    <row r="234" spans="11:16" ht="15.95" customHeight="1" x14ac:dyDescent="0.25">
      <c r="K234" s="308">
        <f t="shared" ca="1" si="11"/>
        <v>0</v>
      </c>
      <c r="L234" s="342" cm="1">
        <f t="array" aca="1" ref="L234" ca="1">O234-IF(ExpTaxCount=2,SUM(M234:N234),SUM(M234:M234))</f>
        <v>0</v>
      </c>
      <c r="M234" s="342">
        <f ca="1">$O234/(1+IF(ISERROR($F234),0,IF(ISNA(MATCH($F234,TaxCode,0)),0,OFFSET(Setup!$D$23,MATCH($F234,TaxCode,0),0,1,1)))+IF(ISERROR($G234),0,IF(ISNA(MATCH($G234,TaxCode,0)),0,OFFSET(Setup!$D$23,MATCH($G234,TaxCode,0),0,1,1))))*IF(ISERROR($F234),0,IF(ISNA(MATCH($F234,TaxCode,0)),0,OFFSET(Setup!$D$23,MATCH($F234,TaxCode,0),0,1,1)))</f>
        <v>0</v>
      </c>
      <c r="N234" s="342">
        <f ca="1">$O234/(1+IF(ISERROR($F234),0,IF(ISNA(MATCH($F234,TaxCode,0)),0,OFFSET(Setup!$D$23,MATCH($F234,TaxCode,0),0,1,1)))+IF(ISERROR($G234),0,IF(ISNA(MATCH($G234,TaxCode,0)),0,OFFSET(Setup!$D$23,MATCH($G234,TaxCode,0),0,1,1))))*IF(ISERROR($G234),0,IF(ISNA(MATCH($G234,TaxCode,0)),0,OFFSET(Setup!$D$23,MATCH($G234,TaxCode,0),0,1,1)))</f>
        <v>0</v>
      </c>
      <c r="O234" s="342">
        <f t="shared" si="12"/>
        <v>0</v>
      </c>
      <c r="P234" s="308" t="str">
        <f t="shared" ca="1" si="13"/>
        <v>-</v>
      </c>
    </row>
    <row r="235" spans="11:16" ht="15.95" customHeight="1" x14ac:dyDescent="0.25">
      <c r="K235" s="308">
        <f t="shared" ca="1" si="11"/>
        <v>0</v>
      </c>
      <c r="L235" s="342" cm="1">
        <f t="array" aca="1" ref="L235" ca="1">O235-IF(ExpTaxCount=2,SUM(M235:N235),SUM(M235:M235))</f>
        <v>0</v>
      </c>
      <c r="M235" s="342">
        <f ca="1">$O235/(1+IF(ISERROR($F235),0,IF(ISNA(MATCH($F235,TaxCode,0)),0,OFFSET(Setup!$D$23,MATCH($F235,TaxCode,0),0,1,1)))+IF(ISERROR($G235),0,IF(ISNA(MATCH($G235,TaxCode,0)),0,OFFSET(Setup!$D$23,MATCH($G235,TaxCode,0),0,1,1))))*IF(ISERROR($F235),0,IF(ISNA(MATCH($F235,TaxCode,0)),0,OFFSET(Setup!$D$23,MATCH($F235,TaxCode,0),0,1,1)))</f>
        <v>0</v>
      </c>
      <c r="N235" s="342">
        <f ca="1">$O235/(1+IF(ISERROR($F235),0,IF(ISNA(MATCH($F235,TaxCode,0)),0,OFFSET(Setup!$D$23,MATCH($F235,TaxCode,0),0,1,1)))+IF(ISERROR($G235),0,IF(ISNA(MATCH($G235,TaxCode,0)),0,OFFSET(Setup!$D$23,MATCH($G235,TaxCode,0),0,1,1))))*IF(ISERROR($G235),0,IF(ISNA(MATCH($G235,TaxCode,0)),0,OFFSET(Setup!$D$23,MATCH($G235,TaxCode,0),0,1,1)))</f>
        <v>0</v>
      </c>
      <c r="O235" s="342">
        <f t="shared" si="12"/>
        <v>0</v>
      </c>
      <c r="P235" s="308" t="str">
        <f t="shared" ca="1" si="13"/>
        <v>-</v>
      </c>
    </row>
    <row r="236" spans="11:16" ht="15.95" customHeight="1" x14ac:dyDescent="0.25">
      <c r="K236" s="308">
        <f t="shared" ca="1" si="11"/>
        <v>0</v>
      </c>
      <c r="L236" s="342" cm="1">
        <f t="array" aca="1" ref="L236" ca="1">O236-IF(ExpTaxCount=2,SUM(M236:N236),SUM(M236:M236))</f>
        <v>0</v>
      </c>
      <c r="M236" s="342">
        <f ca="1">$O236/(1+IF(ISERROR($F236),0,IF(ISNA(MATCH($F236,TaxCode,0)),0,OFFSET(Setup!$D$23,MATCH($F236,TaxCode,0),0,1,1)))+IF(ISERROR($G236),0,IF(ISNA(MATCH($G236,TaxCode,0)),0,OFFSET(Setup!$D$23,MATCH($G236,TaxCode,0),0,1,1))))*IF(ISERROR($F236),0,IF(ISNA(MATCH($F236,TaxCode,0)),0,OFFSET(Setup!$D$23,MATCH($F236,TaxCode,0),0,1,1)))</f>
        <v>0</v>
      </c>
      <c r="N236" s="342">
        <f ca="1">$O236/(1+IF(ISERROR($F236),0,IF(ISNA(MATCH($F236,TaxCode,0)),0,OFFSET(Setup!$D$23,MATCH($F236,TaxCode,0),0,1,1)))+IF(ISERROR($G236),0,IF(ISNA(MATCH($G236,TaxCode,0)),0,OFFSET(Setup!$D$23,MATCH($G236,TaxCode,0),0,1,1))))*IF(ISERROR($G236),0,IF(ISNA(MATCH($G236,TaxCode,0)),0,OFFSET(Setup!$D$23,MATCH($G236,TaxCode,0),0,1,1)))</f>
        <v>0</v>
      </c>
      <c r="O236" s="342">
        <f t="shared" si="12"/>
        <v>0</v>
      </c>
      <c r="P236" s="308" t="str">
        <f t="shared" ca="1" si="13"/>
        <v>-</v>
      </c>
    </row>
    <row r="237" spans="11:16" ht="15.95" customHeight="1" x14ac:dyDescent="0.25">
      <c r="K237" s="308">
        <f t="shared" ca="1" si="11"/>
        <v>0</v>
      </c>
      <c r="L237" s="342" cm="1">
        <f t="array" aca="1" ref="L237" ca="1">O237-IF(ExpTaxCount=2,SUM(M237:N237),SUM(M237:M237))</f>
        <v>0</v>
      </c>
      <c r="M237" s="342">
        <f ca="1">$O237/(1+IF(ISERROR($F237),0,IF(ISNA(MATCH($F237,TaxCode,0)),0,OFFSET(Setup!$D$23,MATCH($F237,TaxCode,0),0,1,1)))+IF(ISERROR($G237),0,IF(ISNA(MATCH($G237,TaxCode,0)),0,OFFSET(Setup!$D$23,MATCH($G237,TaxCode,0),0,1,1))))*IF(ISERROR($F237),0,IF(ISNA(MATCH($F237,TaxCode,0)),0,OFFSET(Setup!$D$23,MATCH($F237,TaxCode,0),0,1,1)))</f>
        <v>0</v>
      </c>
      <c r="N237" s="342">
        <f ca="1">$O237/(1+IF(ISERROR($F237),0,IF(ISNA(MATCH($F237,TaxCode,0)),0,OFFSET(Setup!$D$23,MATCH($F237,TaxCode,0),0,1,1)))+IF(ISERROR($G237),0,IF(ISNA(MATCH($G237,TaxCode,0)),0,OFFSET(Setup!$D$23,MATCH($G237,TaxCode,0),0,1,1))))*IF(ISERROR($G237),0,IF(ISNA(MATCH($G237,TaxCode,0)),0,OFFSET(Setup!$D$23,MATCH($G237,TaxCode,0),0,1,1)))</f>
        <v>0</v>
      </c>
      <c r="O237" s="342">
        <f t="shared" si="12"/>
        <v>0</v>
      </c>
      <c r="P237" s="308" t="str">
        <f t="shared" ca="1" si="13"/>
        <v>-</v>
      </c>
    </row>
    <row r="238" spans="11:16" ht="15.95" customHeight="1" x14ac:dyDescent="0.25">
      <c r="K238" s="308">
        <f t="shared" ca="1" si="11"/>
        <v>0</v>
      </c>
      <c r="L238" s="342" cm="1">
        <f t="array" aca="1" ref="L238" ca="1">O238-IF(ExpTaxCount=2,SUM(M238:N238),SUM(M238:M238))</f>
        <v>0</v>
      </c>
      <c r="M238" s="342">
        <f ca="1">$O238/(1+IF(ISERROR($F238),0,IF(ISNA(MATCH($F238,TaxCode,0)),0,OFFSET(Setup!$D$23,MATCH($F238,TaxCode,0),0,1,1)))+IF(ISERROR($G238),0,IF(ISNA(MATCH($G238,TaxCode,0)),0,OFFSET(Setup!$D$23,MATCH($G238,TaxCode,0),0,1,1))))*IF(ISERROR($F238),0,IF(ISNA(MATCH($F238,TaxCode,0)),0,OFFSET(Setup!$D$23,MATCH($F238,TaxCode,0),0,1,1)))</f>
        <v>0</v>
      </c>
      <c r="N238" s="342">
        <f ca="1">$O238/(1+IF(ISERROR($F238),0,IF(ISNA(MATCH($F238,TaxCode,0)),0,OFFSET(Setup!$D$23,MATCH($F238,TaxCode,0),0,1,1)))+IF(ISERROR($G238),0,IF(ISNA(MATCH($G238,TaxCode,0)),0,OFFSET(Setup!$D$23,MATCH($G238,TaxCode,0),0,1,1))))*IF(ISERROR($G238),0,IF(ISNA(MATCH($G238,TaxCode,0)),0,OFFSET(Setup!$D$23,MATCH($G238,TaxCode,0),0,1,1)))</f>
        <v>0</v>
      </c>
      <c r="O238" s="342">
        <f t="shared" si="12"/>
        <v>0</v>
      </c>
      <c r="P238" s="308" t="str">
        <f t="shared" ca="1" si="13"/>
        <v>-</v>
      </c>
    </row>
    <row r="239" spans="11:16" ht="15.95" customHeight="1" x14ac:dyDescent="0.25">
      <c r="K239" s="308">
        <f t="shared" ca="1" si="11"/>
        <v>0</v>
      </c>
      <c r="L239" s="342" cm="1">
        <f t="array" aca="1" ref="L239" ca="1">O239-IF(ExpTaxCount=2,SUM(M239:N239),SUM(M239:M239))</f>
        <v>0</v>
      </c>
      <c r="M239" s="342">
        <f ca="1">$O239/(1+IF(ISERROR($F239),0,IF(ISNA(MATCH($F239,TaxCode,0)),0,OFFSET(Setup!$D$23,MATCH($F239,TaxCode,0),0,1,1)))+IF(ISERROR($G239),0,IF(ISNA(MATCH($G239,TaxCode,0)),0,OFFSET(Setup!$D$23,MATCH($G239,TaxCode,0),0,1,1))))*IF(ISERROR($F239),0,IF(ISNA(MATCH($F239,TaxCode,0)),0,OFFSET(Setup!$D$23,MATCH($F239,TaxCode,0),0,1,1)))</f>
        <v>0</v>
      </c>
      <c r="N239" s="342">
        <f ca="1">$O239/(1+IF(ISERROR($F239),0,IF(ISNA(MATCH($F239,TaxCode,0)),0,OFFSET(Setup!$D$23,MATCH($F239,TaxCode,0),0,1,1)))+IF(ISERROR($G239),0,IF(ISNA(MATCH($G239,TaxCode,0)),0,OFFSET(Setup!$D$23,MATCH($G239,TaxCode,0),0,1,1))))*IF(ISERROR($G239),0,IF(ISNA(MATCH($G239,TaxCode,0)),0,OFFSET(Setup!$D$23,MATCH($G239,TaxCode,0),0,1,1)))</f>
        <v>0</v>
      </c>
      <c r="O239" s="342">
        <f t="shared" si="12"/>
        <v>0</v>
      </c>
      <c r="P239" s="308" t="str">
        <f t="shared" ca="1" si="13"/>
        <v>-</v>
      </c>
    </row>
    <row r="240" spans="11:16" ht="15.95" customHeight="1" x14ac:dyDescent="0.25">
      <c r="K240" s="308">
        <f t="shared" ca="1" si="11"/>
        <v>0</v>
      </c>
      <c r="L240" s="342" cm="1">
        <f t="array" aca="1" ref="L240" ca="1">O240-IF(ExpTaxCount=2,SUM(M240:N240),SUM(M240:M240))</f>
        <v>0</v>
      </c>
      <c r="M240" s="342">
        <f ca="1">$O240/(1+IF(ISERROR($F240),0,IF(ISNA(MATCH($F240,TaxCode,0)),0,OFFSET(Setup!$D$23,MATCH($F240,TaxCode,0),0,1,1)))+IF(ISERROR($G240),0,IF(ISNA(MATCH($G240,TaxCode,0)),0,OFFSET(Setup!$D$23,MATCH($G240,TaxCode,0),0,1,1))))*IF(ISERROR($F240),0,IF(ISNA(MATCH($F240,TaxCode,0)),0,OFFSET(Setup!$D$23,MATCH($F240,TaxCode,0),0,1,1)))</f>
        <v>0</v>
      </c>
      <c r="N240" s="342">
        <f ca="1">$O240/(1+IF(ISERROR($F240),0,IF(ISNA(MATCH($F240,TaxCode,0)),0,OFFSET(Setup!$D$23,MATCH($F240,TaxCode,0),0,1,1)))+IF(ISERROR($G240),0,IF(ISNA(MATCH($G240,TaxCode,0)),0,OFFSET(Setup!$D$23,MATCH($G240,TaxCode,0),0,1,1))))*IF(ISERROR($G240),0,IF(ISNA(MATCH($G240,TaxCode,0)),0,OFFSET(Setup!$D$23,MATCH($G240,TaxCode,0),0,1,1)))</f>
        <v>0</v>
      </c>
      <c r="O240" s="342">
        <f t="shared" si="12"/>
        <v>0</v>
      </c>
      <c r="P240" s="308" t="str">
        <f t="shared" ca="1" si="13"/>
        <v>-</v>
      </c>
    </row>
    <row r="241" spans="11:16" ht="15.95" customHeight="1" x14ac:dyDescent="0.25">
      <c r="K241" s="308">
        <f t="shared" ca="1" si="11"/>
        <v>0</v>
      </c>
      <c r="L241" s="342" cm="1">
        <f t="array" aca="1" ref="L241" ca="1">O241-IF(ExpTaxCount=2,SUM(M241:N241),SUM(M241:M241))</f>
        <v>0</v>
      </c>
      <c r="M241" s="342">
        <f ca="1">$O241/(1+IF(ISERROR($F241),0,IF(ISNA(MATCH($F241,TaxCode,0)),0,OFFSET(Setup!$D$23,MATCH($F241,TaxCode,0),0,1,1)))+IF(ISERROR($G241),0,IF(ISNA(MATCH($G241,TaxCode,0)),0,OFFSET(Setup!$D$23,MATCH($G241,TaxCode,0),0,1,1))))*IF(ISERROR($F241),0,IF(ISNA(MATCH($F241,TaxCode,0)),0,OFFSET(Setup!$D$23,MATCH($F241,TaxCode,0),0,1,1)))</f>
        <v>0</v>
      </c>
      <c r="N241" s="342">
        <f ca="1">$O241/(1+IF(ISERROR($F241),0,IF(ISNA(MATCH($F241,TaxCode,0)),0,OFFSET(Setup!$D$23,MATCH($F241,TaxCode,0),0,1,1)))+IF(ISERROR($G241),0,IF(ISNA(MATCH($G241,TaxCode,0)),0,OFFSET(Setup!$D$23,MATCH($G241,TaxCode,0),0,1,1))))*IF(ISERROR($G241),0,IF(ISNA(MATCH($G241,TaxCode,0)),0,OFFSET(Setup!$D$23,MATCH($G241,TaxCode,0),0,1,1)))</f>
        <v>0</v>
      </c>
      <c r="O241" s="342">
        <f t="shared" si="12"/>
        <v>0</v>
      </c>
      <c r="P241" s="308" t="str">
        <f t="shared" ca="1" si="13"/>
        <v>-</v>
      </c>
    </row>
    <row r="242" spans="11:16" ht="15.95" customHeight="1" x14ac:dyDescent="0.25">
      <c r="K242" s="308">
        <f t="shared" ca="1" si="11"/>
        <v>0</v>
      </c>
      <c r="L242" s="342" cm="1">
        <f t="array" aca="1" ref="L242" ca="1">O242-IF(ExpTaxCount=2,SUM(M242:N242),SUM(M242:M242))</f>
        <v>0</v>
      </c>
      <c r="M242" s="342">
        <f ca="1">$O242/(1+IF(ISERROR($F242),0,IF(ISNA(MATCH($F242,TaxCode,0)),0,OFFSET(Setup!$D$23,MATCH($F242,TaxCode,0),0,1,1)))+IF(ISERROR($G242),0,IF(ISNA(MATCH($G242,TaxCode,0)),0,OFFSET(Setup!$D$23,MATCH($G242,TaxCode,0),0,1,1))))*IF(ISERROR($F242),0,IF(ISNA(MATCH($F242,TaxCode,0)),0,OFFSET(Setup!$D$23,MATCH($F242,TaxCode,0),0,1,1)))</f>
        <v>0</v>
      </c>
      <c r="N242" s="342">
        <f ca="1">$O242/(1+IF(ISERROR($F242),0,IF(ISNA(MATCH($F242,TaxCode,0)),0,OFFSET(Setup!$D$23,MATCH($F242,TaxCode,0),0,1,1)))+IF(ISERROR($G242),0,IF(ISNA(MATCH($G242,TaxCode,0)),0,OFFSET(Setup!$D$23,MATCH($G242,TaxCode,0),0,1,1))))*IF(ISERROR($G242),0,IF(ISNA(MATCH($G242,TaxCode,0)),0,OFFSET(Setup!$D$23,MATCH($G242,TaxCode,0),0,1,1)))</f>
        <v>0</v>
      </c>
      <c r="O242" s="342">
        <f t="shared" si="12"/>
        <v>0</v>
      </c>
      <c r="P242" s="308" t="str">
        <f t="shared" ca="1" si="13"/>
        <v>-</v>
      </c>
    </row>
    <row r="243" spans="11:16" ht="15.95" customHeight="1" x14ac:dyDescent="0.25">
      <c r="K243" s="308">
        <f t="shared" ca="1" si="11"/>
        <v>0</v>
      </c>
      <c r="L243" s="342" cm="1">
        <f t="array" aca="1" ref="L243" ca="1">O243-IF(ExpTaxCount=2,SUM(M243:N243),SUM(M243:M243))</f>
        <v>0</v>
      </c>
      <c r="M243" s="342">
        <f ca="1">$O243/(1+IF(ISERROR($F243),0,IF(ISNA(MATCH($F243,TaxCode,0)),0,OFFSET(Setup!$D$23,MATCH($F243,TaxCode,0),0,1,1)))+IF(ISERROR($G243),0,IF(ISNA(MATCH($G243,TaxCode,0)),0,OFFSET(Setup!$D$23,MATCH($G243,TaxCode,0),0,1,1))))*IF(ISERROR($F243),0,IF(ISNA(MATCH($F243,TaxCode,0)),0,OFFSET(Setup!$D$23,MATCH($F243,TaxCode,0),0,1,1)))</f>
        <v>0</v>
      </c>
      <c r="N243" s="342">
        <f ca="1">$O243/(1+IF(ISERROR($F243),0,IF(ISNA(MATCH($F243,TaxCode,0)),0,OFFSET(Setup!$D$23,MATCH($F243,TaxCode,0),0,1,1)))+IF(ISERROR($G243),0,IF(ISNA(MATCH($G243,TaxCode,0)),0,OFFSET(Setup!$D$23,MATCH($G243,TaxCode,0),0,1,1))))*IF(ISERROR($G243),0,IF(ISNA(MATCH($G243,TaxCode,0)),0,OFFSET(Setup!$D$23,MATCH($G243,TaxCode,0),0,1,1)))</f>
        <v>0</v>
      </c>
      <c r="O243" s="342">
        <f t="shared" si="12"/>
        <v>0</v>
      </c>
      <c r="P243" s="308" t="str">
        <f t="shared" ca="1" si="13"/>
        <v>-</v>
      </c>
    </row>
    <row r="244" spans="11:16" ht="15.95" customHeight="1" x14ac:dyDescent="0.25">
      <c r="K244" s="308">
        <f t="shared" ca="1" si="11"/>
        <v>0</v>
      </c>
      <c r="L244" s="342" cm="1">
        <f t="array" aca="1" ref="L244" ca="1">O244-IF(ExpTaxCount=2,SUM(M244:N244),SUM(M244:M244))</f>
        <v>0</v>
      </c>
      <c r="M244" s="342">
        <f ca="1">$O244/(1+IF(ISERROR($F244),0,IF(ISNA(MATCH($F244,TaxCode,0)),0,OFFSET(Setup!$D$23,MATCH($F244,TaxCode,0),0,1,1)))+IF(ISERROR($G244),0,IF(ISNA(MATCH($G244,TaxCode,0)),0,OFFSET(Setup!$D$23,MATCH($G244,TaxCode,0),0,1,1))))*IF(ISERROR($F244),0,IF(ISNA(MATCH($F244,TaxCode,0)),0,OFFSET(Setup!$D$23,MATCH($F244,TaxCode,0),0,1,1)))</f>
        <v>0</v>
      </c>
      <c r="N244" s="342">
        <f ca="1">$O244/(1+IF(ISERROR($F244),0,IF(ISNA(MATCH($F244,TaxCode,0)),0,OFFSET(Setup!$D$23,MATCH($F244,TaxCode,0),0,1,1)))+IF(ISERROR($G244),0,IF(ISNA(MATCH($G244,TaxCode,0)),0,OFFSET(Setup!$D$23,MATCH($G244,TaxCode,0),0,1,1))))*IF(ISERROR($G244),0,IF(ISNA(MATCH($G244,TaxCode,0)),0,OFFSET(Setup!$D$23,MATCH($G244,TaxCode,0),0,1,1)))</f>
        <v>0</v>
      </c>
      <c r="O244" s="342">
        <f t="shared" si="12"/>
        <v>0</v>
      </c>
      <c r="P244" s="308" t="str">
        <f t="shared" ca="1" si="13"/>
        <v>-</v>
      </c>
    </row>
    <row r="245" spans="11:16" ht="15.95" customHeight="1" x14ac:dyDescent="0.25">
      <c r="K245" s="308">
        <f t="shared" ca="1" si="11"/>
        <v>0</v>
      </c>
      <c r="L245" s="342" cm="1">
        <f t="array" aca="1" ref="L245" ca="1">O245-IF(ExpTaxCount=2,SUM(M245:N245),SUM(M245:M245))</f>
        <v>0</v>
      </c>
      <c r="M245" s="342">
        <f ca="1">$O245/(1+IF(ISERROR($F245),0,IF(ISNA(MATCH($F245,TaxCode,0)),0,OFFSET(Setup!$D$23,MATCH($F245,TaxCode,0),0,1,1)))+IF(ISERROR($G245),0,IF(ISNA(MATCH($G245,TaxCode,0)),0,OFFSET(Setup!$D$23,MATCH($G245,TaxCode,0),0,1,1))))*IF(ISERROR($F245),0,IF(ISNA(MATCH($F245,TaxCode,0)),0,OFFSET(Setup!$D$23,MATCH($F245,TaxCode,0),0,1,1)))</f>
        <v>0</v>
      </c>
      <c r="N245" s="342">
        <f ca="1">$O245/(1+IF(ISERROR($F245),0,IF(ISNA(MATCH($F245,TaxCode,0)),0,OFFSET(Setup!$D$23,MATCH($F245,TaxCode,0),0,1,1)))+IF(ISERROR($G245),0,IF(ISNA(MATCH($G245,TaxCode,0)),0,OFFSET(Setup!$D$23,MATCH($G245,TaxCode,0),0,1,1))))*IF(ISERROR($G245),0,IF(ISNA(MATCH($G245,TaxCode,0)),0,OFFSET(Setup!$D$23,MATCH($G245,TaxCode,0),0,1,1)))</f>
        <v>0</v>
      </c>
      <c r="O245" s="342">
        <f t="shared" si="12"/>
        <v>0</v>
      </c>
      <c r="P245" s="308" t="str">
        <f t="shared" ca="1" si="13"/>
        <v>-</v>
      </c>
    </row>
    <row r="246" spans="11:16" ht="15.95" customHeight="1" x14ac:dyDescent="0.25">
      <c r="K246" s="308">
        <f t="shared" ca="1" si="11"/>
        <v>0</v>
      </c>
      <c r="L246" s="342" cm="1">
        <f t="array" aca="1" ref="L246" ca="1">O246-IF(ExpTaxCount=2,SUM(M246:N246),SUM(M246:M246))</f>
        <v>0</v>
      </c>
      <c r="M246" s="342">
        <f ca="1">$O246/(1+IF(ISERROR($F246),0,IF(ISNA(MATCH($F246,TaxCode,0)),0,OFFSET(Setup!$D$23,MATCH($F246,TaxCode,0),0,1,1)))+IF(ISERROR($G246),0,IF(ISNA(MATCH($G246,TaxCode,0)),0,OFFSET(Setup!$D$23,MATCH($G246,TaxCode,0),0,1,1))))*IF(ISERROR($F246),0,IF(ISNA(MATCH($F246,TaxCode,0)),0,OFFSET(Setup!$D$23,MATCH($F246,TaxCode,0),0,1,1)))</f>
        <v>0</v>
      </c>
      <c r="N246" s="342">
        <f ca="1">$O246/(1+IF(ISERROR($F246),0,IF(ISNA(MATCH($F246,TaxCode,0)),0,OFFSET(Setup!$D$23,MATCH($F246,TaxCode,0),0,1,1)))+IF(ISERROR($G246),0,IF(ISNA(MATCH($G246,TaxCode,0)),0,OFFSET(Setup!$D$23,MATCH($G246,TaxCode,0),0,1,1))))*IF(ISERROR($G246),0,IF(ISNA(MATCH($G246,TaxCode,0)),0,OFFSET(Setup!$D$23,MATCH($G246,TaxCode,0),0,1,1)))</f>
        <v>0</v>
      </c>
      <c r="O246" s="342">
        <f t="shared" si="12"/>
        <v>0</v>
      </c>
      <c r="P246" s="308" t="str">
        <f t="shared" ca="1" si="13"/>
        <v>-</v>
      </c>
    </row>
    <row r="247" spans="11:16" ht="15.95" customHeight="1" x14ac:dyDescent="0.25">
      <c r="K247" s="308">
        <f t="shared" ca="1" si="11"/>
        <v>0</v>
      </c>
      <c r="L247" s="342" cm="1">
        <f t="array" aca="1" ref="L247" ca="1">O247-IF(ExpTaxCount=2,SUM(M247:N247),SUM(M247:M247))</f>
        <v>0</v>
      </c>
      <c r="M247" s="342">
        <f ca="1">$O247/(1+IF(ISERROR($F247),0,IF(ISNA(MATCH($F247,TaxCode,0)),0,OFFSET(Setup!$D$23,MATCH($F247,TaxCode,0),0,1,1)))+IF(ISERROR($G247),0,IF(ISNA(MATCH($G247,TaxCode,0)),0,OFFSET(Setup!$D$23,MATCH($G247,TaxCode,0),0,1,1))))*IF(ISERROR($F247),0,IF(ISNA(MATCH($F247,TaxCode,0)),0,OFFSET(Setup!$D$23,MATCH($F247,TaxCode,0),0,1,1)))</f>
        <v>0</v>
      </c>
      <c r="N247" s="342">
        <f ca="1">$O247/(1+IF(ISERROR($F247),0,IF(ISNA(MATCH($F247,TaxCode,0)),0,OFFSET(Setup!$D$23,MATCH($F247,TaxCode,0),0,1,1)))+IF(ISERROR($G247),0,IF(ISNA(MATCH($G247,TaxCode,0)),0,OFFSET(Setup!$D$23,MATCH($G247,TaxCode,0),0,1,1))))*IF(ISERROR($G247),0,IF(ISNA(MATCH($G247,TaxCode,0)),0,OFFSET(Setup!$D$23,MATCH($G247,TaxCode,0),0,1,1)))</f>
        <v>0</v>
      </c>
      <c r="O247" s="342">
        <f t="shared" si="12"/>
        <v>0</v>
      </c>
      <c r="P247" s="308" t="str">
        <f t="shared" ca="1" si="13"/>
        <v>-</v>
      </c>
    </row>
    <row r="248" spans="11:16" ht="15.95" customHeight="1" x14ac:dyDescent="0.25">
      <c r="K248" s="308">
        <f t="shared" ca="1" si="11"/>
        <v>0</v>
      </c>
      <c r="L248" s="342" cm="1">
        <f t="array" aca="1" ref="L248" ca="1">O248-IF(ExpTaxCount=2,SUM(M248:N248),SUM(M248:M248))</f>
        <v>0</v>
      </c>
      <c r="M248" s="342">
        <f ca="1">$O248/(1+IF(ISERROR($F248),0,IF(ISNA(MATCH($F248,TaxCode,0)),0,OFFSET(Setup!$D$23,MATCH($F248,TaxCode,0),0,1,1)))+IF(ISERROR($G248),0,IF(ISNA(MATCH($G248,TaxCode,0)),0,OFFSET(Setup!$D$23,MATCH($G248,TaxCode,0),0,1,1))))*IF(ISERROR($F248),0,IF(ISNA(MATCH($F248,TaxCode,0)),0,OFFSET(Setup!$D$23,MATCH($F248,TaxCode,0),0,1,1)))</f>
        <v>0</v>
      </c>
      <c r="N248" s="342">
        <f ca="1">$O248/(1+IF(ISERROR($F248),0,IF(ISNA(MATCH($F248,TaxCode,0)),0,OFFSET(Setup!$D$23,MATCH($F248,TaxCode,0),0,1,1)))+IF(ISERROR($G248),0,IF(ISNA(MATCH($G248,TaxCode,0)),0,OFFSET(Setup!$D$23,MATCH($G248,TaxCode,0),0,1,1))))*IF(ISERROR($G248),0,IF(ISNA(MATCH($G248,TaxCode,0)),0,OFFSET(Setup!$D$23,MATCH($G248,TaxCode,0),0,1,1)))</f>
        <v>0</v>
      </c>
      <c r="O248" s="342">
        <f t="shared" si="12"/>
        <v>0</v>
      </c>
      <c r="P248" s="308" t="str">
        <f t="shared" ca="1" si="13"/>
        <v>-</v>
      </c>
    </row>
    <row r="249" spans="11:16" ht="15.95" customHeight="1" x14ac:dyDescent="0.25">
      <c r="K249" s="308">
        <f t="shared" ca="1" si="11"/>
        <v>0</v>
      </c>
      <c r="L249" s="342" cm="1">
        <f t="array" aca="1" ref="L249" ca="1">O249-IF(ExpTaxCount=2,SUM(M249:N249),SUM(M249:M249))</f>
        <v>0</v>
      </c>
      <c r="M249" s="342">
        <f ca="1">$O249/(1+IF(ISERROR($F249),0,IF(ISNA(MATCH($F249,TaxCode,0)),0,OFFSET(Setup!$D$23,MATCH($F249,TaxCode,0),0,1,1)))+IF(ISERROR($G249),0,IF(ISNA(MATCH($G249,TaxCode,0)),0,OFFSET(Setup!$D$23,MATCH($G249,TaxCode,0),0,1,1))))*IF(ISERROR($F249),0,IF(ISNA(MATCH($F249,TaxCode,0)),0,OFFSET(Setup!$D$23,MATCH($F249,TaxCode,0),0,1,1)))</f>
        <v>0</v>
      </c>
      <c r="N249" s="342">
        <f ca="1">$O249/(1+IF(ISERROR($F249),0,IF(ISNA(MATCH($F249,TaxCode,0)),0,OFFSET(Setup!$D$23,MATCH($F249,TaxCode,0),0,1,1)))+IF(ISERROR($G249),0,IF(ISNA(MATCH($G249,TaxCode,0)),0,OFFSET(Setup!$D$23,MATCH($G249,TaxCode,0),0,1,1))))*IF(ISERROR($G249),0,IF(ISNA(MATCH($G249,TaxCode,0)),0,OFFSET(Setup!$D$23,MATCH($G249,TaxCode,0),0,1,1)))</f>
        <v>0</v>
      </c>
      <c r="O249" s="342">
        <f t="shared" si="12"/>
        <v>0</v>
      </c>
      <c r="P249" s="308" t="str">
        <f t="shared" ca="1" si="13"/>
        <v>-</v>
      </c>
    </row>
    <row r="250" spans="11:16" ht="15.95" customHeight="1" x14ac:dyDescent="0.25">
      <c r="K250" s="308">
        <f t="shared" ca="1" si="11"/>
        <v>0</v>
      </c>
      <c r="L250" s="342" cm="1">
        <f t="array" aca="1" ref="L250" ca="1">O250-IF(ExpTaxCount=2,SUM(M250:N250),SUM(M250:M250))</f>
        <v>0</v>
      </c>
      <c r="M250" s="342">
        <f ca="1">$O250/(1+IF(ISERROR($F250),0,IF(ISNA(MATCH($F250,TaxCode,0)),0,OFFSET(Setup!$D$23,MATCH($F250,TaxCode,0),0,1,1)))+IF(ISERROR($G250),0,IF(ISNA(MATCH($G250,TaxCode,0)),0,OFFSET(Setup!$D$23,MATCH($G250,TaxCode,0),0,1,1))))*IF(ISERROR($F250),0,IF(ISNA(MATCH($F250,TaxCode,0)),0,OFFSET(Setup!$D$23,MATCH($F250,TaxCode,0),0,1,1)))</f>
        <v>0</v>
      </c>
      <c r="N250" s="342">
        <f ca="1">$O250/(1+IF(ISERROR($F250),0,IF(ISNA(MATCH($F250,TaxCode,0)),0,OFFSET(Setup!$D$23,MATCH($F250,TaxCode,0),0,1,1)))+IF(ISERROR($G250),0,IF(ISNA(MATCH($G250,TaxCode,0)),0,OFFSET(Setup!$D$23,MATCH($G250,TaxCode,0),0,1,1))))*IF(ISERROR($G250),0,IF(ISNA(MATCH($G250,TaxCode,0)),0,OFFSET(Setup!$D$23,MATCH($G250,TaxCode,0),0,1,1)))</f>
        <v>0</v>
      </c>
      <c r="O250" s="342">
        <f t="shared" si="12"/>
        <v>0</v>
      </c>
      <c r="P250" s="308" t="str">
        <f t="shared" ca="1" si="13"/>
        <v>-</v>
      </c>
    </row>
    <row r="251" spans="11:16" ht="15.95" customHeight="1" x14ac:dyDescent="0.25">
      <c r="K251" s="308">
        <f t="shared" ca="1" si="11"/>
        <v>0</v>
      </c>
      <c r="L251" s="342" cm="1">
        <f t="array" aca="1" ref="L251" ca="1">O251-IF(ExpTaxCount=2,SUM(M251:N251),SUM(M251:M251))</f>
        <v>0</v>
      </c>
      <c r="M251" s="342">
        <f ca="1">$O251/(1+IF(ISERROR($F251),0,IF(ISNA(MATCH($F251,TaxCode,0)),0,OFFSET(Setup!$D$23,MATCH($F251,TaxCode,0),0,1,1)))+IF(ISERROR($G251),0,IF(ISNA(MATCH($G251,TaxCode,0)),0,OFFSET(Setup!$D$23,MATCH($G251,TaxCode,0),0,1,1))))*IF(ISERROR($F251),0,IF(ISNA(MATCH($F251,TaxCode,0)),0,OFFSET(Setup!$D$23,MATCH($F251,TaxCode,0),0,1,1)))</f>
        <v>0</v>
      </c>
      <c r="N251" s="342">
        <f ca="1">$O251/(1+IF(ISERROR($F251),0,IF(ISNA(MATCH($F251,TaxCode,0)),0,OFFSET(Setup!$D$23,MATCH($F251,TaxCode,0),0,1,1)))+IF(ISERROR($G251),0,IF(ISNA(MATCH($G251,TaxCode,0)),0,OFFSET(Setup!$D$23,MATCH($G251,TaxCode,0),0,1,1))))*IF(ISERROR($G251),0,IF(ISNA(MATCH($G251,TaxCode,0)),0,OFFSET(Setup!$D$23,MATCH($G251,TaxCode,0),0,1,1)))</f>
        <v>0</v>
      </c>
      <c r="O251" s="342">
        <f t="shared" si="12"/>
        <v>0</v>
      </c>
      <c r="P251" s="308" t="str">
        <f t="shared" ca="1" si="13"/>
        <v>-</v>
      </c>
    </row>
    <row r="252" spans="11:16" ht="15.95" customHeight="1" x14ac:dyDescent="0.25">
      <c r="K252" s="308">
        <f t="shared" ca="1" si="11"/>
        <v>0</v>
      </c>
      <c r="L252" s="342" cm="1">
        <f t="array" aca="1" ref="L252" ca="1">O252-IF(ExpTaxCount=2,SUM(M252:N252),SUM(M252:M252))</f>
        <v>0</v>
      </c>
      <c r="M252" s="342">
        <f ca="1">$O252/(1+IF(ISERROR($F252),0,IF(ISNA(MATCH($F252,TaxCode,0)),0,OFFSET(Setup!$D$23,MATCH($F252,TaxCode,0),0,1,1)))+IF(ISERROR($G252),0,IF(ISNA(MATCH($G252,TaxCode,0)),0,OFFSET(Setup!$D$23,MATCH($G252,TaxCode,0),0,1,1))))*IF(ISERROR($F252),0,IF(ISNA(MATCH($F252,TaxCode,0)),0,OFFSET(Setup!$D$23,MATCH($F252,TaxCode,0),0,1,1)))</f>
        <v>0</v>
      </c>
      <c r="N252" s="342">
        <f ca="1">$O252/(1+IF(ISERROR($F252),0,IF(ISNA(MATCH($F252,TaxCode,0)),0,OFFSET(Setup!$D$23,MATCH($F252,TaxCode,0),0,1,1)))+IF(ISERROR($G252),0,IF(ISNA(MATCH($G252,TaxCode,0)),0,OFFSET(Setup!$D$23,MATCH($G252,TaxCode,0),0,1,1))))*IF(ISERROR($G252),0,IF(ISNA(MATCH($G252,TaxCode,0)),0,OFFSET(Setup!$D$23,MATCH($G252,TaxCode,0),0,1,1)))</f>
        <v>0</v>
      </c>
      <c r="O252" s="342">
        <f t="shared" si="12"/>
        <v>0</v>
      </c>
      <c r="P252" s="308" t="str">
        <f t="shared" ca="1" si="13"/>
        <v>-</v>
      </c>
    </row>
    <row r="253" spans="11:16" ht="15.95" customHeight="1" x14ac:dyDescent="0.25">
      <c r="K253" s="308">
        <f t="shared" ca="1" si="11"/>
        <v>0</v>
      </c>
      <c r="L253" s="342" cm="1">
        <f t="array" aca="1" ref="L253" ca="1">O253-IF(ExpTaxCount=2,SUM(M253:N253),SUM(M253:M253))</f>
        <v>0</v>
      </c>
      <c r="M253" s="342">
        <f ca="1">$O253/(1+IF(ISERROR($F253),0,IF(ISNA(MATCH($F253,TaxCode,0)),0,OFFSET(Setup!$D$23,MATCH($F253,TaxCode,0),0,1,1)))+IF(ISERROR($G253),0,IF(ISNA(MATCH($G253,TaxCode,0)),0,OFFSET(Setup!$D$23,MATCH($G253,TaxCode,0),0,1,1))))*IF(ISERROR($F253),0,IF(ISNA(MATCH($F253,TaxCode,0)),0,OFFSET(Setup!$D$23,MATCH($F253,TaxCode,0),0,1,1)))</f>
        <v>0</v>
      </c>
      <c r="N253" s="342">
        <f ca="1">$O253/(1+IF(ISERROR($F253),0,IF(ISNA(MATCH($F253,TaxCode,0)),0,OFFSET(Setup!$D$23,MATCH($F253,TaxCode,0),0,1,1)))+IF(ISERROR($G253),0,IF(ISNA(MATCH($G253,TaxCode,0)),0,OFFSET(Setup!$D$23,MATCH($G253,TaxCode,0),0,1,1))))*IF(ISERROR($G253),0,IF(ISNA(MATCH($G253,TaxCode,0)),0,OFFSET(Setup!$D$23,MATCH($G253,TaxCode,0),0,1,1)))</f>
        <v>0</v>
      </c>
      <c r="O253" s="342">
        <f t="shared" si="12"/>
        <v>0</v>
      </c>
      <c r="P253" s="308" t="str">
        <f t="shared" ca="1" si="13"/>
        <v>-</v>
      </c>
    </row>
    <row r="254" spans="11:16" ht="15.95" customHeight="1" x14ac:dyDescent="0.25">
      <c r="K254" s="308">
        <f t="shared" ca="1" si="11"/>
        <v>0</v>
      </c>
      <c r="L254" s="342" cm="1">
        <f t="array" aca="1" ref="L254" ca="1">O254-IF(ExpTaxCount=2,SUM(M254:N254),SUM(M254:M254))</f>
        <v>0</v>
      </c>
      <c r="M254" s="342">
        <f ca="1">$O254/(1+IF(ISERROR($F254),0,IF(ISNA(MATCH($F254,TaxCode,0)),0,OFFSET(Setup!$D$23,MATCH($F254,TaxCode,0),0,1,1)))+IF(ISERROR($G254),0,IF(ISNA(MATCH($G254,TaxCode,0)),0,OFFSET(Setup!$D$23,MATCH($G254,TaxCode,0),0,1,1))))*IF(ISERROR($F254),0,IF(ISNA(MATCH($F254,TaxCode,0)),0,OFFSET(Setup!$D$23,MATCH($F254,TaxCode,0),0,1,1)))</f>
        <v>0</v>
      </c>
      <c r="N254" s="342">
        <f ca="1">$O254/(1+IF(ISERROR($F254),0,IF(ISNA(MATCH($F254,TaxCode,0)),0,OFFSET(Setup!$D$23,MATCH($F254,TaxCode,0),0,1,1)))+IF(ISERROR($G254),0,IF(ISNA(MATCH($G254,TaxCode,0)),0,OFFSET(Setup!$D$23,MATCH($G254,TaxCode,0),0,1,1))))*IF(ISERROR($G254),0,IF(ISNA(MATCH($G254,TaxCode,0)),0,OFFSET(Setup!$D$23,MATCH($G254,TaxCode,0),0,1,1)))</f>
        <v>0</v>
      </c>
      <c r="O254" s="342">
        <f t="shared" si="12"/>
        <v>0</v>
      </c>
      <c r="P254" s="308" t="str">
        <f t="shared" ca="1" si="13"/>
        <v>-</v>
      </c>
    </row>
    <row r="255" spans="11:16" ht="15.95" customHeight="1" x14ac:dyDescent="0.25">
      <c r="K255" s="308">
        <f t="shared" ca="1" si="11"/>
        <v>0</v>
      </c>
      <c r="L255" s="342" cm="1">
        <f t="array" aca="1" ref="L255" ca="1">O255-IF(ExpTaxCount=2,SUM(M255:N255),SUM(M255:M255))</f>
        <v>0</v>
      </c>
      <c r="M255" s="342">
        <f ca="1">$O255/(1+IF(ISERROR($F255),0,IF(ISNA(MATCH($F255,TaxCode,0)),0,OFFSET(Setup!$D$23,MATCH($F255,TaxCode,0),0,1,1)))+IF(ISERROR($G255),0,IF(ISNA(MATCH($G255,TaxCode,0)),0,OFFSET(Setup!$D$23,MATCH($G255,TaxCode,0),0,1,1))))*IF(ISERROR($F255),0,IF(ISNA(MATCH($F255,TaxCode,0)),0,OFFSET(Setup!$D$23,MATCH($F255,TaxCode,0),0,1,1)))</f>
        <v>0</v>
      </c>
      <c r="N255" s="342">
        <f ca="1">$O255/(1+IF(ISERROR($F255),0,IF(ISNA(MATCH($F255,TaxCode,0)),0,OFFSET(Setup!$D$23,MATCH($F255,TaxCode,0),0,1,1)))+IF(ISERROR($G255),0,IF(ISNA(MATCH($G255,TaxCode,0)),0,OFFSET(Setup!$D$23,MATCH($G255,TaxCode,0),0,1,1))))*IF(ISERROR($G255),0,IF(ISNA(MATCH($G255,TaxCode,0)),0,OFFSET(Setup!$D$23,MATCH($G255,TaxCode,0),0,1,1)))</f>
        <v>0</v>
      </c>
      <c r="O255" s="342">
        <f t="shared" si="12"/>
        <v>0</v>
      </c>
      <c r="P255" s="308" t="str">
        <f t="shared" ca="1" si="13"/>
        <v>-</v>
      </c>
    </row>
    <row r="256" spans="11:16" ht="15.95" customHeight="1" x14ac:dyDescent="0.25">
      <c r="K256" s="308">
        <f t="shared" ca="1" si="11"/>
        <v>0</v>
      </c>
      <c r="L256" s="342" cm="1">
        <f t="array" aca="1" ref="L256" ca="1">O256-IF(ExpTaxCount=2,SUM(M256:N256),SUM(M256:M256))</f>
        <v>0</v>
      </c>
      <c r="M256" s="342">
        <f ca="1">$O256/(1+IF(ISERROR($F256),0,IF(ISNA(MATCH($F256,TaxCode,0)),0,OFFSET(Setup!$D$23,MATCH($F256,TaxCode,0),0,1,1)))+IF(ISERROR($G256),0,IF(ISNA(MATCH($G256,TaxCode,0)),0,OFFSET(Setup!$D$23,MATCH($G256,TaxCode,0),0,1,1))))*IF(ISERROR($F256),0,IF(ISNA(MATCH($F256,TaxCode,0)),0,OFFSET(Setup!$D$23,MATCH($F256,TaxCode,0),0,1,1)))</f>
        <v>0</v>
      </c>
      <c r="N256" s="342">
        <f ca="1">$O256/(1+IF(ISERROR($F256),0,IF(ISNA(MATCH($F256,TaxCode,0)),0,OFFSET(Setup!$D$23,MATCH($F256,TaxCode,0),0,1,1)))+IF(ISERROR($G256),0,IF(ISNA(MATCH($G256,TaxCode,0)),0,OFFSET(Setup!$D$23,MATCH($G256,TaxCode,0),0,1,1))))*IF(ISERROR($G256),0,IF(ISNA(MATCH($G256,TaxCode,0)),0,OFFSET(Setup!$D$23,MATCH($G256,TaxCode,0),0,1,1)))</f>
        <v>0</v>
      </c>
      <c r="O256" s="342">
        <f t="shared" si="12"/>
        <v>0</v>
      </c>
      <c r="P256" s="308" t="str">
        <f t="shared" ca="1" si="13"/>
        <v>-</v>
      </c>
    </row>
    <row r="257" spans="11:16" ht="15.95" customHeight="1" x14ac:dyDescent="0.25">
      <c r="K257" s="308">
        <f t="shared" ca="1" si="11"/>
        <v>0</v>
      </c>
      <c r="L257" s="342" cm="1">
        <f t="array" aca="1" ref="L257" ca="1">O257-IF(ExpTaxCount=2,SUM(M257:N257),SUM(M257:M257))</f>
        <v>0</v>
      </c>
      <c r="M257" s="342">
        <f ca="1">$O257/(1+IF(ISERROR($F257),0,IF(ISNA(MATCH($F257,TaxCode,0)),0,OFFSET(Setup!$D$23,MATCH($F257,TaxCode,0),0,1,1)))+IF(ISERROR($G257),0,IF(ISNA(MATCH($G257,TaxCode,0)),0,OFFSET(Setup!$D$23,MATCH($G257,TaxCode,0),0,1,1))))*IF(ISERROR($F257),0,IF(ISNA(MATCH($F257,TaxCode,0)),0,OFFSET(Setup!$D$23,MATCH($F257,TaxCode,0),0,1,1)))</f>
        <v>0</v>
      </c>
      <c r="N257" s="342">
        <f ca="1">$O257/(1+IF(ISERROR($F257),0,IF(ISNA(MATCH($F257,TaxCode,0)),0,OFFSET(Setup!$D$23,MATCH($F257,TaxCode,0),0,1,1)))+IF(ISERROR($G257),0,IF(ISNA(MATCH($G257,TaxCode,0)),0,OFFSET(Setup!$D$23,MATCH($G257,TaxCode,0),0,1,1))))*IF(ISERROR($G257),0,IF(ISNA(MATCH($G257,TaxCode,0)),0,OFFSET(Setup!$D$23,MATCH($G257,TaxCode,0),0,1,1)))</f>
        <v>0</v>
      </c>
      <c r="O257" s="342">
        <f t="shared" si="12"/>
        <v>0</v>
      </c>
      <c r="P257" s="308" t="str">
        <f t="shared" ca="1" si="13"/>
        <v>-</v>
      </c>
    </row>
    <row r="258" spans="11:16" ht="15.95" customHeight="1" x14ac:dyDescent="0.25">
      <c r="K258" s="308">
        <f t="shared" ca="1" si="11"/>
        <v>0</v>
      </c>
      <c r="L258" s="342" cm="1">
        <f t="array" aca="1" ref="L258" ca="1">O258-IF(ExpTaxCount=2,SUM(M258:N258),SUM(M258:M258))</f>
        <v>0</v>
      </c>
      <c r="M258" s="342">
        <f ca="1">$O258/(1+IF(ISERROR($F258),0,IF(ISNA(MATCH($F258,TaxCode,0)),0,OFFSET(Setup!$D$23,MATCH($F258,TaxCode,0),0,1,1)))+IF(ISERROR($G258),0,IF(ISNA(MATCH($G258,TaxCode,0)),0,OFFSET(Setup!$D$23,MATCH($G258,TaxCode,0),0,1,1))))*IF(ISERROR($F258),0,IF(ISNA(MATCH($F258,TaxCode,0)),0,OFFSET(Setup!$D$23,MATCH($F258,TaxCode,0),0,1,1)))</f>
        <v>0</v>
      </c>
      <c r="N258" s="342">
        <f ca="1">$O258/(1+IF(ISERROR($F258),0,IF(ISNA(MATCH($F258,TaxCode,0)),0,OFFSET(Setup!$D$23,MATCH($F258,TaxCode,0),0,1,1)))+IF(ISERROR($G258),0,IF(ISNA(MATCH($G258,TaxCode,0)),0,OFFSET(Setup!$D$23,MATCH($G258,TaxCode,0),0,1,1))))*IF(ISERROR($G258),0,IF(ISNA(MATCH($G258,TaxCode,0)),0,OFFSET(Setup!$D$23,MATCH($G258,TaxCode,0),0,1,1)))</f>
        <v>0</v>
      </c>
      <c r="O258" s="342">
        <f t="shared" si="12"/>
        <v>0</v>
      </c>
      <c r="P258" s="308" t="str">
        <f t="shared" ca="1" si="13"/>
        <v>-</v>
      </c>
    </row>
    <row r="259" spans="11:16" ht="15.95" customHeight="1" x14ac:dyDescent="0.25">
      <c r="K259" s="308">
        <f t="shared" ca="1" si="11"/>
        <v>0</v>
      </c>
      <c r="L259" s="342" cm="1">
        <f t="array" aca="1" ref="L259" ca="1">O259-IF(ExpTaxCount=2,SUM(M259:N259),SUM(M259:M259))</f>
        <v>0</v>
      </c>
      <c r="M259" s="342">
        <f ca="1">$O259/(1+IF(ISERROR($F259),0,IF(ISNA(MATCH($F259,TaxCode,0)),0,OFFSET(Setup!$D$23,MATCH($F259,TaxCode,0),0,1,1)))+IF(ISERROR($G259),0,IF(ISNA(MATCH($G259,TaxCode,0)),0,OFFSET(Setup!$D$23,MATCH($G259,TaxCode,0),0,1,1))))*IF(ISERROR($F259),0,IF(ISNA(MATCH($F259,TaxCode,0)),0,OFFSET(Setup!$D$23,MATCH($F259,TaxCode,0),0,1,1)))</f>
        <v>0</v>
      </c>
      <c r="N259" s="342">
        <f ca="1">$O259/(1+IF(ISERROR($F259),0,IF(ISNA(MATCH($F259,TaxCode,0)),0,OFFSET(Setup!$D$23,MATCH($F259,TaxCode,0),0,1,1)))+IF(ISERROR($G259),0,IF(ISNA(MATCH($G259,TaxCode,0)),0,OFFSET(Setup!$D$23,MATCH($G259,TaxCode,0),0,1,1))))*IF(ISERROR($G259),0,IF(ISNA(MATCH($G259,TaxCode,0)),0,OFFSET(Setup!$D$23,MATCH($G259,TaxCode,0),0,1,1)))</f>
        <v>0</v>
      </c>
      <c r="O259" s="342">
        <f t="shared" si="12"/>
        <v>0</v>
      </c>
      <c r="P259" s="308" t="str">
        <f t="shared" ca="1" si="13"/>
        <v>-</v>
      </c>
    </row>
    <row r="260" spans="11:16" ht="15.95" customHeight="1" x14ac:dyDescent="0.25">
      <c r="K260" s="308">
        <f t="shared" ca="1" si="11"/>
        <v>0</v>
      </c>
      <c r="L260" s="342" cm="1">
        <f t="array" aca="1" ref="L260" ca="1">O260-IF(ExpTaxCount=2,SUM(M260:N260),SUM(M260:M260))</f>
        <v>0</v>
      </c>
      <c r="M260" s="342">
        <f ca="1">$O260/(1+IF(ISERROR($F260),0,IF(ISNA(MATCH($F260,TaxCode,0)),0,OFFSET(Setup!$D$23,MATCH($F260,TaxCode,0),0,1,1)))+IF(ISERROR($G260),0,IF(ISNA(MATCH($G260,TaxCode,0)),0,OFFSET(Setup!$D$23,MATCH($G260,TaxCode,0),0,1,1))))*IF(ISERROR($F260),0,IF(ISNA(MATCH($F260,TaxCode,0)),0,OFFSET(Setup!$D$23,MATCH($F260,TaxCode,0),0,1,1)))</f>
        <v>0</v>
      </c>
      <c r="N260" s="342">
        <f ca="1">$O260/(1+IF(ISERROR($F260),0,IF(ISNA(MATCH($F260,TaxCode,0)),0,OFFSET(Setup!$D$23,MATCH($F260,TaxCode,0),0,1,1)))+IF(ISERROR($G260),0,IF(ISNA(MATCH($G260,TaxCode,0)),0,OFFSET(Setup!$D$23,MATCH($G260,TaxCode,0),0,1,1))))*IF(ISERROR($G260),0,IF(ISNA(MATCH($G260,TaxCode,0)),0,OFFSET(Setup!$D$23,MATCH($G260,TaxCode,0),0,1,1)))</f>
        <v>0</v>
      </c>
      <c r="O260" s="342">
        <f t="shared" si="12"/>
        <v>0</v>
      </c>
      <c r="P260" s="308" t="str">
        <f t="shared" ca="1" si="13"/>
        <v>-</v>
      </c>
    </row>
    <row r="261" spans="11:16" ht="15.95" customHeight="1" x14ac:dyDescent="0.25">
      <c r="K261" s="308">
        <f t="shared" ca="1" si="11"/>
        <v>0</v>
      </c>
      <c r="L261" s="342" cm="1">
        <f t="array" aca="1" ref="L261" ca="1">O261-IF(ExpTaxCount=2,SUM(M261:N261),SUM(M261:M261))</f>
        <v>0</v>
      </c>
      <c r="M261" s="342">
        <f ca="1">$O261/(1+IF(ISERROR($F261),0,IF(ISNA(MATCH($F261,TaxCode,0)),0,OFFSET(Setup!$D$23,MATCH($F261,TaxCode,0),0,1,1)))+IF(ISERROR($G261),0,IF(ISNA(MATCH($G261,TaxCode,0)),0,OFFSET(Setup!$D$23,MATCH($G261,TaxCode,0),0,1,1))))*IF(ISERROR($F261),0,IF(ISNA(MATCH($F261,TaxCode,0)),0,OFFSET(Setup!$D$23,MATCH($F261,TaxCode,0),0,1,1)))</f>
        <v>0</v>
      </c>
      <c r="N261" s="342">
        <f ca="1">$O261/(1+IF(ISERROR($F261),0,IF(ISNA(MATCH($F261,TaxCode,0)),0,OFFSET(Setup!$D$23,MATCH($F261,TaxCode,0),0,1,1)))+IF(ISERROR($G261),0,IF(ISNA(MATCH($G261,TaxCode,0)),0,OFFSET(Setup!$D$23,MATCH($G261,TaxCode,0),0,1,1))))*IF(ISERROR($G261),0,IF(ISNA(MATCH($G261,TaxCode,0)),0,OFFSET(Setup!$D$23,MATCH($G261,TaxCode,0),0,1,1)))</f>
        <v>0</v>
      </c>
      <c r="O261" s="342">
        <f t="shared" si="12"/>
        <v>0</v>
      </c>
      <c r="P261" s="308" t="str">
        <f t="shared" ca="1" si="13"/>
        <v>-</v>
      </c>
    </row>
    <row r="262" spans="11:16" ht="15.95" customHeight="1" x14ac:dyDescent="0.25">
      <c r="K262" s="308">
        <f t="shared" ca="1" si="11"/>
        <v>0</v>
      </c>
      <c r="L262" s="342" cm="1">
        <f t="array" aca="1" ref="L262" ca="1">O262-IF(ExpTaxCount=2,SUM(M262:N262),SUM(M262:M262))</f>
        <v>0</v>
      </c>
      <c r="M262" s="342">
        <f ca="1">$O262/(1+IF(ISERROR($F262),0,IF(ISNA(MATCH($F262,TaxCode,0)),0,OFFSET(Setup!$D$23,MATCH($F262,TaxCode,0),0,1,1)))+IF(ISERROR($G262),0,IF(ISNA(MATCH($G262,TaxCode,0)),0,OFFSET(Setup!$D$23,MATCH($G262,TaxCode,0),0,1,1))))*IF(ISERROR($F262),0,IF(ISNA(MATCH($F262,TaxCode,0)),0,OFFSET(Setup!$D$23,MATCH($F262,TaxCode,0),0,1,1)))</f>
        <v>0</v>
      </c>
      <c r="N262" s="342">
        <f ca="1">$O262/(1+IF(ISERROR($F262),0,IF(ISNA(MATCH($F262,TaxCode,0)),0,OFFSET(Setup!$D$23,MATCH($F262,TaxCode,0),0,1,1)))+IF(ISERROR($G262),0,IF(ISNA(MATCH($G262,TaxCode,0)),0,OFFSET(Setup!$D$23,MATCH($G262,TaxCode,0),0,1,1))))*IF(ISERROR($G262),0,IF(ISNA(MATCH($G262,TaxCode,0)),0,OFFSET(Setup!$D$23,MATCH($G262,TaxCode,0),0,1,1)))</f>
        <v>0</v>
      </c>
      <c r="O262" s="342">
        <f t="shared" si="12"/>
        <v>0</v>
      </c>
      <c r="P262" s="308" t="str">
        <f t="shared" ca="1" si="13"/>
        <v>-</v>
      </c>
    </row>
    <row r="263" spans="11:16" ht="15.95" customHeight="1" x14ac:dyDescent="0.25">
      <c r="K263" s="308">
        <f t="shared" ca="1" si="11"/>
        <v>0</v>
      </c>
      <c r="L263" s="342" cm="1">
        <f t="array" aca="1" ref="L263" ca="1">O263-IF(ExpTaxCount=2,SUM(M263:N263),SUM(M263:M263))</f>
        <v>0</v>
      </c>
      <c r="M263" s="342">
        <f ca="1">$O263/(1+IF(ISERROR($F263),0,IF(ISNA(MATCH($F263,TaxCode,0)),0,OFFSET(Setup!$D$23,MATCH($F263,TaxCode,0),0,1,1)))+IF(ISERROR($G263),0,IF(ISNA(MATCH($G263,TaxCode,0)),0,OFFSET(Setup!$D$23,MATCH($G263,TaxCode,0),0,1,1))))*IF(ISERROR($F263),0,IF(ISNA(MATCH($F263,TaxCode,0)),0,OFFSET(Setup!$D$23,MATCH($F263,TaxCode,0),0,1,1)))</f>
        <v>0</v>
      </c>
      <c r="N263" s="342">
        <f ca="1">$O263/(1+IF(ISERROR($F263),0,IF(ISNA(MATCH($F263,TaxCode,0)),0,OFFSET(Setup!$D$23,MATCH($F263,TaxCode,0),0,1,1)))+IF(ISERROR($G263),0,IF(ISNA(MATCH($G263,TaxCode,0)),0,OFFSET(Setup!$D$23,MATCH($G263,TaxCode,0),0,1,1))))*IF(ISERROR($G263),0,IF(ISNA(MATCH($G263,TaxCode,0)),0,OFFSET(Setup!$D$23,MATCH($G263,TaxCode,0),0,1,1)))</f>
        <v>0</v>
      </c>
      <c r="O263" s="342">
        <f t="shared" si="12"/>
        <v>0</v>
      </c>
      <c r="P263" s="308" t="str">
        <f t="shared" ca="1" si="13"/>
        <v>-</v>
      </c>
    </row>
    <row r="264" spans="11:16" ht="15.95" customHeight="1" x14ac:dyDescent="0.25">
      <c r="K264" s="308">
        <f t="shared" ca="1" si="11"/>
        <v>0</v>
      </c>
      <c r="L264" s="342" cm="1">
        <f t="array" aca="1" ref="L264" ca="1">O264-IF(ExpTaxCount=2,SUM(M264:N264),SUM(M264:M264))</f>
        <v>0</v>
      </c>
      <c r="M264" s="342">
        <f ca="1">$O264/(1+IF(ISERROR($F264),0,IF(ISNA(MATCH($F264,TaxCode,0)),0,OFFSET(Setup!$D$23,MATCH($F264,TaxCode,0),0,1,1)))+IF(ISERROR($G264),0,IF(ISNA(MATCH($G264,TaxCode,0)),0,OFFSET(Setup!$D$23,MATCH($G264,TaxCode,0),0,1,1))))*IF(ISERROR($F264),0,IF(ISNA(MATCH($F264,TaxCode,0)),0,OFFSET(Setup!$D$23,MATCH($F264,TaxCode,0),0,1,1)))</f>
        <v>0</v>
      </c>
      <c r="N264" s="342">
        <f ca="1">$O264/(1+IF(ISERROR($F264),0,IF(ISNA(MATCH($F264,TaxCode,0)),0,OFFSET(Setup!$D$23,MATCH($F264,TaxCode,0),0,1,1)))+IF(ISERROR($G264),0,IF(ISNA(MATCH($G264,TaxCode,0)),0,OFFSET(Setup!$D$23,MATCH($G264,TaxCode,0),0,1,1))))*IF(ISERROR($G264),0,IF(ISNA(MATCH($G264,TaxCode,0)),0,OFFSET(Setup!$D$23,MATCH($G264,TaxCode,0),0,1,1)))</f>
        <v>0</v>
      </c>
      <c r="O264" s="342">
        <f t="shared" si="12"/>
        <v>0</v>
      </c>
      <c r="P264" s="308" t="str">
        <f t="shared" ca="1" si="13"/>
        <v>-</v>
      </c>
    </row>
    <row r="265" spans="11:16" ht="15.95" customHeight="1" x14ac:dyDescent="0.25">
      <c r="K265" s="308">
        <f t="shared" ca="1" si="11"/>
        <v>0</v>
      </c>
      <c r="L265" s="342" cm="1">
        <f t="array" aca="1" ref="L265" ca="1">O265-IF(ExpTaxCount=2,SUM(M265:N265),SUM(M265:M265))</f>
        <v>0</v>
      </c>
      <c r="M265" s="342">
        <f ca="1">$O265/(1+IF(ISERROR($F265),0,IF(ISNA(MATCH($F265,TaxCode,0)),0,OFFSET(Setup!$D$23,MATCH($F265,TaxCode,0),0,1,1)))+IF(ISERROR($G265),0,IF(ISNA(MATCH($G265,TaxCode,0)),0,OFFSET(Setup!$D$23,MATCH($G265,TaxCode,0),0,1,1))))*IF(ISERROR($F265),0,IF(ISNA(MATCH($F265,TaxCode,0)),0,OFFSET(Setup!$D$23,MATCH($F265,TaxCode,0),0,1,1)))</f>
        <v>0</v>
      </c>
      <c r="N265" s="342">
        <f ca="1">$O265/(1+IF(ISERROR($F265),0,IF(ISNA(MATCH($F265,TaxCode,0)),0,OFFSET(Setup!$D$23,MATCH($F265,TaxCode,0),0,1,1)))+IF(ISERROR($G265),0,IF(ISNA(MATCH($G265,TaxCode,0)),0,OFFSET(Setup!$D$23,MATCH($G265,TaxCode,0),0,1,1))))*IF(ISERROR($G265),0,IF(ISNA(MATCH($G265,TaxCode,0)),0,OFFSET(Setup!$D$23,MATCH($G265,TaxCode,0),0,1,1)))</f>
        <v>0</v>
      </c>
      <c r="O265" s="342">
        <f t="shared" si="12"/>
        <v>0</v>
      </c>
      <c r="P265" s="308" t="str">
        <f t="shared" ca="1" si="13"/>
        <v>-</v>
      </c>
    </row>
    <row r="266" spans="11:16" ht="15.95" customHeight="1" x14ac:dyDescent="0.25">
      <c r="K266" s="308">
        <f t="shared" ca="1" si="11"/>
        <v>0</v>
      </c>
      <c r="L266" s="342" cm="1">
        <f t="array" aca="1" ref="L266" ca="1">O266-IF(ExpTaxCount=2,SUM(M266:N266),SUM(M266:M266))</f>
        <v>0</v>
      </c>
      <c r="M266" s="342">
        <f ca="1">$O266/(1+IF(ISERROR($F266),0,IF(ISNA(MATCH($F266,TaxCode,0)),0,OFFSET(Setup!$D$23,MATCH($F266,TaxCode,0),0,1,1)))+IF(ISERROR($G266),0,IF(ISNA(MATCH($G266,TaxCode,0)),0,OFFSET(Setup!$D$23,MATCH($G266,TaxCode,0),0,1,1))))*IF(ISERROR($F266),0,IF(ISNA(MATCH($F266,TaxCode,0)),0,OFFSET(Setup!$D$23,MATCH($F266,TaxCode,0),0,1,1)))</f>
        <v>0</v>
      </c>
      <c r="N266" s="342">
        <f ca="1">$O266/(1+IF(ISERROR($F266),0,IF(ISNA(MATCH($F266,TaxCode,0)),0,OFFSET(Setup!$D$23,MATCH($F266,TaxCode,0),0,1,1)))+IF(ISERROR($G266),0,IF(ISNA(MATCH($G266,TaxCode,0)),0,OFFSET(Setup!$D$23,MATCH($G266,TaxCode,0),0,1,1))))*IF(ISERROR($G266),0,IF(ISNA(MATCH($G266,TaxCode,0)),0,OFFSET(Setup!$D$23,MATCH($G266,TaxCode,0),0,1,1)))</f>
        <v>0</v>
      </c>
      <c r="O266" s="342">
        <f t="shared" si="12"/>
        <v>0</v>
      </c>
      <c r="P266" s="308" t="str">
        <f t="shared" ca="1" si="13"/>
        <v>-</v>
      </c>
    </row>
    <row r="267" spans="11:16" ht="15.95" customHeight="1" x14ac:dyDescent="0.25">
      <c r="K267" s="308">
        <f t="shared" ca="1" si="11"/>
        <v>0</v>
      </c>
      <c r="L267" s="342" cm="1">
        <f t="array" aca="1" ref="L267" ca="1">O267-IF(ExpTaxCount=2,SUM(M267:N267),SUM(M267:M267))</f>
        <v>0</v>
      </c>
      <c r="M267" s="342">
        <f ca="1">$O267/(1+IF(ISERROR($F267),0,IF(ISNA(MATCH($F267,TaxCode,0)),0,OFFSET(Setup!$D$23,MATCH($F267,TaxCode,0),0,1,1)))+IF(ISERROR($G267),0,IF(ISNA(MATCH($G267,TaxCode,0)),0,OFFSET(Setup!$D$23,MATCH($G267,TaxCode,0),0,1,1))))*IF(ISERROR($F267),0,IF(ISNA(MATCH($F267,TaxCode,0)),0,OFFSET(Setup!$D$23,MATCH($F267,TaxCode,0),0,1,1)))</f>
        <v>0</v>
      </c>
      <c r="N267" s="342">
        <f ca="1">$O267/(1+IF(ISERROR($F267),0,IF(ISNA(MATCH($F267,TaxCode,0)),0,OFFSET(Setup!$D$23,MATCH($F267,TaxCode,0),0,1,1)))+IF(ISERROR($G267),0,IF(ISNA(MATCH($G267,TaxCode,0)),0,OFFSET(Setup!$D$23,MATCH($G267,TaxCode,0),0,1,1))))*IF(ISERROR($G267),0,IF(ISNA(MATCH($G267,TaxCode,0)),0,OFFSET(Setup!$D$23,MATCH($G267,TaxCode,0),0,1,1)))</f>
        <v>0</v>
      </c>
      <c r="O267" s="342">
        <f t="shared" si="12"/>
        <v>0</v>
      </c>
      <c r="P267" s="308" t="str">
        <f t="shared" ca="1" si="13"/>
        <v>-</v>
      </c>
    </row>
    <row r="268" spans="11:16" ht="15.95" customHeight="1" x14ac:dyDescent="0.25">
      <c r="K268" s="308">
        <f t="shared" ref="K268:K300" ca="1" si="14">IF(AND($A268&lt;=$L$2,OR($J268&gt;$L$2,ISBLANK($J268))),$E268,0)</f>
        <v>0</v>
      </c>
      <c r="L268" s="342" cm="1">
        <f t="array" aca="1" ref="L268" ca="1">O268-IF(ExpTaxCount=2,SUM(M268:N268),SUM(M268:M268))</f>
        <v>0</v>
      </c>
      <c r="M268" s="342">
        <f ca="1">$O268/(1+IF(ISERROR($F268),0,IF(ISNA(MATCH($F268,TaxCode,0)),0,OFFSET(Setup!$D$23,MATCH($F268,TaxCode,0),0,1,1)))+IF(ISERROR($G268),0,IF(ISNA(MATCH($G268,TaxCode,0)),0,OFFSET(Setup!$D$23,MATCH($G268,TaxCode,0),0,1,1))))*IF(ISERROR($F268),0,IF(ISNA(MATCH($F268,TaxCode,0)),0,OFFSET(Setup!$D$23,MATCH($F268,TaxCode,0),0,1,1)))</f>
        <v>0</v>
      </c>
      <c r="N268" s="342">
        <f ca="1">$O268/(1+IF(ISERROR($F268),0,IF(ISNA(MATCH($F268,TaxCode,0)),0,OFFSET(Setup!$D$23,MATCH($F268,TaxCode,0),0,1,1)))+IF(ISERROR($G268),0,IF(ISNA(MATCH($G268,TaxCode,0)),0,OFFSET(Setup!$D$23,MATCH($G268,TaxCode,0),0,1,1))))*IF(ISERROR($G268),0,IF(ISNA(MATCH($G268,TaxCode,0)),0,OFFSET(Setup!$D$23,MATCH($G268,TaxCode,0),0,1,1)))</f>
        <v>0</v>
      </c>
      <c r="O268" s="342">
        <f t="shared" ref="O268:O300" si="15">E268</f>
        <v>0</v>
      </c>
      <c r="P268" s="308" t="str">
        <f t="shared" ref="P268:P300" ca="1" si="16">IF(AND(ISBLANK(J268)=FALSE,J268&lt;A268),"E1",IF(AND(ISBLANK(I268)=FALSE,ISNA(MATCH($I268,AccountNo,0))),"E2",IF(AND(ISBLANK(H268)=FALSE,ISNA(MATCH($H268,BankCode,0))),"E3","-")))</f>
        <v>-</v>
      </c>
    </row>
    <row r="269" spans="11:16" ht="15.95" customHeight="1" x14ac:dyDescent="0.25">
      <c r="K269" s="308">
        <f t="shared" ca="1" si="14"/>
        <v>0</v>
      </c>
      <c r="L269" s="342" cm="1">
        <f t="array" aca="1" ref="L269" ca="1">O269-IF(ExpTaxCount=2,SUM(M269:N269),SUM(M269:M269))</f>
        <v>0</v>
      </c>
      <c r="M269" s="342">
        <f ca="1">$O269/(1+IF(ISERROR($F269),0,IF(ISNA(MATCH($F269,TaxCode,0)),0,OFFSET(Setup!$D$23,MATCH($F269,TaxCode,0),0,1,1)))+IF(ISERROR($G269),0,IF(ISNA(MATCH($G269,TaxCode,0)),0,OFFSET(Setup!$D$23,MATCH($G269,TaxCode,0),0,1,1))))*IF(ISERROR($F269),0,IF(ISNA(MATCH($F269,TaxCode,0)),0,OFFSET(Setup!$D$23,MATCH($F269,TaxCode,0),0,1,1)))</f>
        <v>0</v>
      </c>
      <c r="N269" s="342">
        <f ca="1">$O269/(1+IF(ISERROR($F269),0,IF(ISNA(MATCH($F269,TaxCode,0)),0,OFFSET(Setup!$D$23,MATCH($F269,TaxCode,0),0,1,1)))+IF(ISERROR($G269),0,IF(ISNA(MATCH($G269,TaxCode,0)),0,OFFSET(Setup!$D$23,MATCH($G269,TaxCode,0),0,1,1))))*IF(ISERROR($G269),0,IF(ISNA(MATCH($G269,TaxCode,0)),0,OFFSET(Setup!$D$23,MATCH($G269,TaxCode,0),0,1,1)))</f>
        <v>0</v>
      </c>
      <c r="O269" s="342">
        <f t="shared" si="15"/>
        <v>0</v>
      </c>
      <c r="P269" s="308" t="str">
        <f t="shared" ca="1" si="16"/>
        <v>-</v>
      </c>
    </row>
    <row r="270" spans="11:16" ht="15.95" customHeight="1" x14ac:dyDescent="0.25">
      <c r="K270" s="308">
        <f t="shared" ca="1" si="14"/>
        <v>0</v>
      </c>
      <c r="L270" s="342" cm="1">
        <f t="array" aca="1" ref="L270" ca="1">O270-IF(ExpTaxCount=2,SUM(M270:N270),SUM(M270:M270))</f>
        <v>0</v>
      </c>
      <c r="M270" s="342">
        <f ca="1">$O270/(1+IF(ISERROR($F270),0,IF(ISNA(MATCH($F270,TaxCode,0)),0,OFFSET(Setup!$D$23,MATCH($F270,TaxCode,0),0,1,1)))+IF(ISERROR($G270),0,IF(ISNA(MATCH($G270,TaxCode,0)),0,OFFSET(Setup!$D$23,MATCH($G270,TaxCode,0),0,1,1))))*IF(ISERROR($F270),0,IF(ISNA(MATCH($F270,TaxCode,0)),0,OFFSET(Setup!$D$23,MATCH($F270,TaxCode,0),0,1,1)))</f>
        <v>0</v>
      </c>
      <c r="N270" s="342">
        <f ca="1">$O270/(1+IF(ISERROR($F270),0,IF(ISNA(MATCH($F270,TaxCode,0)),0,OFFSET(Setup!$D$23,MATCH($F270,TaxCode,0),0,1,1)))+IF(ISERROR($G270),0,IF(ISNA(MATCH($G270,TaxCode,0)),0,OFFSET(Setup!$D$23,MATCH($G270,TaxCode,0),0,1,1))))*IF(ISERROR($G270),0,IF(ISNA(MATCH($G270,TaxCode,0)),0,OFFSET(Setup!$D$23,MATCH($G270,TaxCode,0),0,1,1)))</f>
        <v>0</v>
      </c>
      <c r="O270" s="342">
        <f t="shared" si="15"/>
        <v>0</v>
      </c>
      <c r="P270" s="308" t="str">
        <f t="shared" ca="1" si="16"/>
        <v>-</v>
      </c>
    </row>
    <row r="271" spans="11:16" ht="15.95" customHeight="1" x14ac:dyDescent="0.25">
      <c r="K271" s="308">
        <f t="shared" ca="1" si="14"/>
        <v>0</v>
      </c>
      <c r="L271" s="342" cm="1">
        <f t="array" aca="1" ref="L271" ca="1">O271-IF(ExpTaxCount=2,SUM(M271:N271),SUM(M271:M271))</f>
        <v>0</v>
      </c>
      <c r="M271" s="342">
        <f ca="1">$O271/(1+IF(ISERROR($F271),0,IF(ISNA(MATCH($F271,TaxCode,0)),0,OFFSET(Setup!$D$23,MATCH($F271,TaxCode,0),0,1,1)))+IF(ISERROR($G271),0,IF(ISNA(MATCH($G271,TaxCode,0)),0,OFFSET(Setup!$D$23,MATCH($G271,TaxCode,0),0,1,1))))*IF(ISERROR($F271),0,IF(ISNA(MATCH($F271,TaxCode,0)),0,OFFSET(Setup!$D$23,MATCH($F271,TaxCode,0),0,1,1)))</f>
        <v>0</v>
      </c>
      <c r="N271" s="342">
        <f ca="1">$O271/(1+IF(ISERROR($F271),0,IF(ISNA(MATCH($F271,TaxCode,0)),0,OFFSET(Setup!$D$23,MATCH($F271,TaxCode,0),0,1,1)))+IF(ISERROR($G271),0,IF(ISNA(MATCH($G271,TaxCode,0)),0,OFFSET(Setup!$D$23,MATCH($G271,TaxCode,0),0,1,1))))*IF(ISERROR($G271),0,IF(ISNA(MATCH($G271,TaxCode,0)),0,OFFSET(Setup!$D$23,MATCH($G271,TaxCode,0),0,1,1)))</f>
        <v>0</v>
      </c>
      <c r="O271" s="342">
        <f t="shared" si="15"/>
        <v>0</v>
      </c>
      <c r="P271" s="308" t="str">
        <f t="shared" ca="1" si="16"/>
        <v>-</v>
      </c>
    </row>
    <row r="272" spans="11:16" ht="15.95" customHeight="1" x14ac:dyDescent="0.25">
      <c r="K272" s="308">
        <f t="shared" ca="1" si="14"/>
        <v>0</v>
      </c>
      <c r="L272" s="342" cm="1">
        <f t="array" aca="1" ref="L272" ca="1">O272-IF(ExpTaxCount=2,SUM(M272:N272),SUM(M272:M272))</f>
        <v>0</v>
      </c>
      <c r="M272" s="342">
        <f ca="1">$O272/(1+IF(ISERROR($F272),0,IF(ISNA(MATCH($F272,TaxCode,0)),0,OFFSET(Setup!$D$23,MATCH($F272,TaxCode,0),0,1,1)))+IF(ISERROR($G272),0,IF(ISNA(MATCH($G272,TaxCode,0)),0,OFFSET(Setup!$D$23,MATCH($G272,TaxCode,0),0,1,1))))*IF(ISERROR($F272),0,IF(ISNA(MATCH($F272,TaxCode,0)),0,OFFSET(Setup!$D$23,MATCH($F272,TaxCode,0),0,1,1)))</f>
        <v>0</v>
      </c>
      <c r="N272" s="342">
        <f ca="1">$O272/(1+IF(ISERROR($F272),0,IF(ISNA(MATCH($F272,TaxCode,0)),0,OFFSET(Setup!$D$23,MATCH($F272,TaxCode,0),0,1,1)))+IF(ISERROR($G272),0,IF(ISNA(MATCH($G272,TaxCode,0)),0,OFFSET(Setup!$D$23,MATCH($G272,TaxCode,0),0,1,1))))*IF(ISERROR($G272),0,IF(ISNA(MATCH($G272,TaxCode,0)),0,OFFSET(Setup!$D$23,MATCH($G272,TaxCode,0),0,1,1)))</f>
        <v>0</v>
      </c>
      <c r="O272" s="342">
        <f t="shared" si="15"/>
        <v>0</v>
      </c>
      <c r="P272" s="308" t="str">
        <f t="shared" ca="1" si="16"/>
        <v>-</v>
      </c>
    </row>
    <row r="273" spans="11:16" ht="15.95" customHeight="1" x14ac:dyDescent="0.25">
      <c r="K273" s="308">
        <f t="shared" ca="1" si="14"/>
        <v>0</v>
      </c>
      <c r="L273" s="342" cm="1">
        <f t="array" aca="1" ref="L273" ca="1">O273-IF(ExpTaxCount=2,SUM(M273:N273),SUM(M273:M273))</f>
        <v>0</v>
      </c>
      <c r="M273" s="342">
        <f ca="1">$O273/(1+IF(ISERROR($F273),0,IF(ISNA(MATCH($F273,TaxCode,0)),0,OFFSET(Setup!$D$23,MATCH($F273,TaxCode,0),0,1,1)))+IF(ISERROR($G273),0,IF(ISNA(MATCH($G273,TaxCode,0)),0,OFFSET(Setup!$D$23,MATCH($G273,TaxCode,0),0,1,1))))*IF(ISERROR($F273),0,IF(ISNA(MATCH($F273,TaxCode,0)),0,OFFSET(Setup!$D$23,MATCH($F273,TaxCode,0),0,1,1)))</f>
        <v>0</v>
      </c>
      <c r="N273" s="342">
        <f ca="1">$O273/(1+IF(ISERROR($F273),0,IF(ISNA(MATCH($F273,TaxCode,0)),0,OFFSET(Setup!$D$23,MATCH($F273,TaxCode,0),0,1,1)))+IF(ISERROR($G273),0,IF(ISNA(MATCH($G273,TaxCode,0)),0,OFFSET(Setup!$D$23,MATCH($G273,TaxCode,0),0,1,1))))*IF(ISERROR($G273),0,IF(ISNA(MATCH($G273,TaxCode,0)),0,OFFSET(Setup!$D$23,MATCH($G273,TaxCode,0),0,1,1)))</f>
        <v>0</v>
      </c>
      <c r="O273" s="342">
        <f t="shared" si="15"/>
        <v>0</v>
      </c>
      <c r="P273" s="308" t="str">
        <f t="shared" ca="1" si="16"/>
        <v>-</v>
      </c>
    </row>
    <row r="274" spans="11:16" ht="15.95" customHeight="1" x14ac:dyDescent="0.25">
      <c r="K274" s="308">
        <f t="shared" ca="1" si="14"/>
        <v>0</v>
      </c>
      <c r="L274" s="342" cm="1">
        <f t="array" aca="1" ref="L274" ca="1">O274-IF(ExpTaxCount=2,SUM(M274:N274),SUM(M274:M274))</f>
        <v>0</v>
      </c>
      <c r="M274" s="342">
        <f ca="1">$O274/(1+IF(ISERROR($F274),0,IF(ISNA(MATCH($F274,TaxCode,0)),0,OFFSET(Setup!$D$23,MATCH($F274,TaxCode,0),0,1,1)))+IF(ISERROR($G274),0,IF(ISNA(MATCH($G274,TaxCode,0)),0,OFFSET(Setup!$D$23,MATCH($G274,TaxCode,0),0,1,1))))*IF(ISERROR($F274),0,IF(ISNA(MATCH($F274,TaxCode,0)),0,OFFSET(Setup!$D$23,MATCH($F274,TaxCode,0),0,1,1)))</f>
        <v>0</v>
      </c>
      <c r="N274" s="342">
        <f ca="1">$O274/(1+IF(ISERROR($F274),0,IF(ISNA(MATCH($F274,TaxCode,0)),0,OFFSET(Setup!$D$23,MATCH($F274,TaxCode,0),0,1,1)))+IF(ISERROR($G274),0,IF(ISNA(MATCH($G274,TaxCode,0)),0,OFFSET(Setup!$D$23,MATCH($G274,TaxCode,0),0,1,1))))*IF(ISERROR($G274),0,IF(ISNA(MATCH($G274,TaxCode,0)),0,OFFSET(Setup!$D$23,MATCH($G274,TaxCode,0),0,1,1)))</f>
        <v>0</v>
      </c>
      <c r="O274" s="342">
        <f t="shared" si="15"/>
        <v>0</v>
      </c>
      <c r="P274" s="308" t="str">
        <f t="shared" ca="1" si="16"/>
        <v>-</v>
      </c>
    </row>
    <row r="275" spans="11:16" ht="15.95" customHeight="1" x14ac:dyDescent="0.25">
      <c r="K275" s="308">
        <f t="shared" ca="1" si="14"/>
        <v>0</v>
      </c>
      <c r="L275" s="342" cm="1">
        <f t="array" aca="1" ref="L275" ca="1">O275-IF(ExpTaxCount=2,SUM(M275:N275),SUM(M275:M275))</f>
        <v>0</v>
      </c>
      <c r="M275" s="342">
        <f ca="1">$O275/(1+IF(ISERROR($F275),0,IF(ISNA(MATCH($F275,TaxCode,0)),0,OFFSET(Setup!$D$23,MATCH($F275,TaxCode,0),0,1,1)))+IF(ISERROR($G275),0,IF(ISNA(MATCH($G275,TaxCode,0)),0,OFFSET(Setup!$D$23,MATCH($G275,TaxCode,0),0,1,1))))*IF(ISERROR($F275),0,IF(ISNA(MATCH($F275,TaxCode,0)),0,OFFSET(Setup!$D$23,MATCH($F275,TaxCode,0),0,1,1)))</f>
        <v>0</v>
      </c>
      <c r="N275" s="342">
        <f ca="1">$O275/(1+IF(ISERROR($F275),0,IF(ISNA(MATCH($F275,TaxCode,0)),0,OFFSET(Setup!$D$23,MATCH($F275,TaxCode,0),0,1,1)))+IF(ISERROR($G275),0,IF(ISNA(MATCH($G275,TaxCode,0)),0,OFFSET(Setup!$D$23,MATCH($G275,TaxCode,0),0,1,1))))*IF(ISERROR($G275),0,IF(ISNA(MATCH($G275,TaxCode,0)),0,OFFSET(Setup!$D$23,MATCH($G275,TaxCode,0),0,1,1)))</f>
        <v>0</v>
      </c>
      <c r="O275" s="342">
        <f t="shared" si="15"/>
        <v>0</v>
      </c>
      <c r="P275" s="308" t="str">
        <f t="shared" ca="1" si="16"/>
        <v>-</v>
      </c>
    </row>
    <row r="276" spans="11:16" ht="15.95" customHeight="1" x14ac:dyDescent="0.25">
      <c r="K276" s="308">
        <f t="shared" ca="1" si="14"/>
        <v>0</v>
      </c>
      <c r="L276" s="342" cm="1">
        <f t="array" aca="1" ref="L276" ca="1">O276-IF(ExpTaxCount=2,SUM(M276:N276),SUM(M276:M276))</f>
        <v>0</v>
      </c>
      <c r="M276" s="342">
        <f ca="1">$O276/(1+IF(ISERROR($F276),0,IF(ISNA(MATCH($F276,TaxCode,0)),0,OFFSET(Setup!$D$23,MATCH($F276,TaxCode,0),0,1,1)))+IF(ISERROR($G276),0,IF(ISNA(MATCH($G276,TaxCode,0)),0,OFFSET(Setup!$D$23,MATCH($G276,TaxCode,0),0,1,1))))*IF(ISERROR($F276),0,IF(ISNA(MATCH($F276,TaxCode,0)),0,OFFSET(Setup!$D$23,MATCH($F276,TaxCode,0),0,1,1)))</f>
        <v>0</v>
      </c>
      <c r="N276" s="342">
        <f ca="1">$O276/(1+IF(ISERROR($F276),0,IF(ISNA(MATCH($F276,TaxCode,0)),0,OFFSET(Setup!$D$23,MATCH($F276,TaxCode,0),0,1,1)))+IF(ISERROR($G276),0,IF(ISNA(MATCH($G276,TaxCode,0)),0,OFFSET(Setup!$D$23,MATCH($G276,TaxCode,0),0,1,1))))*IF(ISERROR($G276),0,IF(ISNA(MATCH($G276,TaxCode,0)),0,OFFSET(Setup!$D$23,MATCH($G276,TaxCode,0),0,1,1)))</f>
        <v>0</v>
      </c>
      <c r="O276" s="342">
        <f t="shared" si="15"/>
        <v>0</v>
      </c>
      <c r="P276" s="308" t="str">
        <f t="shared" ca="1" si="16"/>
        <v>-</v>
      </c>
    </row>
    <row r="277" spans="11:16" ht="15.95" customHeight="1" x14ac:dyDescent="0.25">
      <c r="K277" s="308">
        <f t="shared" ca="1" si="14"/>
        <v>0</v>
      </c>
      <c r="L277" s="342" cm="1">
        <f t="array" aca="1" ref="L277" ca="1">O277-IF(ExpTaxCount=2,SUM(M277:N277),SUM(M277:M277))</f>
        <v>0</v>
      </c>
      <c r="M277" s="342">
        <f ca="1">$O277/(1+IF(ISERROR($F277),0,IF(ISNA(MATCH($F277,TaxCode,0)),0,OFFSET(Setup!$D$23,MATCH($F277,TaxCode,0),0,1,1)))+IF(ISERROR($G277),0,IF(ISNA(MATCH($G277,TaxCode,0)),0,OFFSET(Setup!$D$23,MATCH($G277,TaxCode,0),0,1,1))))*IF(ISERROR($F277),0,IF(ISNA(MATCH($F277,TaxCode,0)),0,OFFSET(Setup!$D$23,MATCH($F277,TaxCode,0),0,1,1)))</f>
        <v>0</v>
      </c>
      <c r="N277" s="342">
        <f ca="1">$O277/(1+IF(ISERROR($F277),0,IF(ISNA(MATCH($F277,TaxCode,0)),0,OFFSET(Setup!$D$23,MATCH($F277,TaxCode,0),0,1,1)))+IF(ISERROR($G277),0,IF(ISNA(MATCH($G277,TaxCode,0)),0,OFFSET(Setup!$D$23,MATCH($G277,TaxCode,0),0,1,1))))*IF(ISERROR($G277),0,IF(ISNA(MATCH($G277,TaxCode,0)),0,OFFSET(Setup!$D$23,MATCH($G277,TaxCode,0),0,1,1)))</f>
        <v>0</v>
      </c>
      <c r="O277" s="342">
        <f t="shared" si="15"/>
        <v>0</v>
      </c>
      <c r="P277" s="308" t="str">
        <f t="shared" ca="1" si="16"/>
        <v>-</v>
      </c>
    </row>
    <row r="278" spans="11:16" ht="15.95" customHeight="1" x14ac:dyDescent="0.25">
      <c r="K278" s="308">
        <f t="shared" ca="1" si="14"/>
        <v>0</v>
      </c>
      <c r="L278" s="342" cm="1">
        <f t="array" aca="1" ref="L278" ca="1">O278-IF(ExpTaxCount=2,SUM(M278:N278),SUM(M278:M278))</f>
        <v>0</v>
      </c>
      <c r="M278" s="342">
        <f ca="1">$O278/(1+IF(ISERROR($F278),0,IF(ISNA(MATCH($F278,TaxCode,0)),0,OFFSET(Setup!$D$23,MATCH($F278,TaxCode,0),0,1,1)))+IF(ISERROR($G278),0,IF(ISNA(MATCH($G278,TaxCode,0)),0,OFFSET(Setup!$D$23,MATCH($G278,TaxCode,0),0,1,1))))*IF(ISERROR($F278),0,IF(ISNA(MATCH($F278,TaxCode,0)),0,OFFSET(Setup!$D$23,MATCH($F278,TaxCode,0),0,1,1)))</f>
        <v>0</v>
      </c>
      <c r="N278" s="342">
        <f ca="1">$O278/(1+IF(ISERROR($F278),0,IF(ISNA(MATCH($F278,TaxCode,0)),0,OFFSET(Setup!$D$23,MATCH($F278,TaxCode,0),0,1,1)))+IF(ISERROR($G278),0,IF(ISNA(MATCH($G278,TaxCode,0)),0,OFFSET(Setup!$D$23,MATCH($G278,TaxCode,0),0,1,1))))*IF(ISERROR($G278),0,IF(ISNA(MATCH($G278,TaxCode,0)),0,OFFSET(Setup!$D$23,MATCH($G278,TaxCode,0),0,1,1)))</f>
        <v>0</v>
      </c>
      <c r="O278" s="342">
        <f t="shared" si="15"/>
        <v>0</v>
      </c>
      <c r="P278" s="308" t="str">
        <f t="shared" ca="1" si="16"/>
        <v>-</v>
      </c>
    </row>
    <row r="279" spans="11:16" ht="15.95" customHeight="1" x14ac:dyDescent="0.25">
      <c r="K279" s="308">
        <f t="shared" ca="1" si="14"/>
        <v>0</v>
      </c>
      <c r="L279" s="342" cm="1">
        <f t="array" aca="1" ref="L279" ca="1">O279-IF(ExpTaxCount=2,SUM(M279:N279),SUM(M279:M279))</f>
        <v>0</v>
      </c>
      <c r="M279" s="342">
        <f ca="1">$O279/(1+IF(ISERROR($F279),0,IF(ISNA(MATCH($F279,TaxCode,0)),0,OFFSET(Setup!$D$23,MATCH($F279,TaxCode,0),0,1,1)))+IF(ISERROR($G279),0,IF(ISNA(MATCH($G279,TaxCode,0)),0,OFFSET(Setup!$D$23,MATCH($G279,TaxCode,0),0,1,1))))*IF(ISERROR($F279),0,IF(ISNA(MATCH($F279,TaxCode,0)),0,OFFSET(Setup!$D$23,MATCH($F279,TaxCode,0),0,1,1)))</f>
        <v>0</v>
      </c>
      <c r="N279" s="342">
        <f ca="1">$O279/(1+IF(ISERROR($F279),0,IF(ISNA(MATCH($F279,TaxCode,0)),0,OFFSET(Setup!$D$23,MATCH($F279,TaxCode,0),0,1,1)))+IF(ISERROR($G279),0,IF(ISNA(MATCH($G279,TaxCode,0)),0,OFFSET(Setup!$D$23,MATCH($G279,TaxCode,0),0,1,1))))*IF(ISERROR($G279),0,IF(ISNA(MATCH($G279,TaxCode,0)),0,OFFSET(Setup!$D$23,MATCH($G279,TaxCode,0),0,1,1)))</f>
        <v>0</v>
      </c>
      <c r="O279" s="342">
        <f t="shared" si="15"/>
        <v>0</v>
      </c>
      <c r="P279" s="308" t="str">
        <f t="shared" ca="1" si="16"/>
        <v>-</v>
      </c>
    </row>
    <row r="280" spans="11:16" ht="15.95" customHeight="1" x14ac:dyDescent="0.25">
      <c r="K280" s="308">
        <f t="shared" ca="1" si="14"/>
        <v>0</v>
      </c>
      <c r="L280" s="342" cm="1">
        <f t="array" aca="1" ref="L280" ca="1">O280-IF(ExpTaxCount=2,SUM(M280:N280),SUM(M280:M280))</f>
        <v>0</v>
      </c>
      <c r="M280" s="342">
        <f ca="1">$O280/(1+IF(ISERROR($F280),0,IF(ISNA(MATCH($F280,TaxCode,0)),0,OFFSET(Setup!$D$23,MATCH($F280,TaxCode,0),0,1,1)))+IF(ISERROR($G280),0,IF(ISNA(MATCH($G280,TaxCode,0)),0,OFFSET(Setup!$D$23,MATCH($G280,TaxCode,0),0,1,1))))*IF(ISERROR($F280),0,IF(ISNA(MATCH($F280,TaxCode,0)),0,OFFSET(Setup!$D$23,MATCH($F280,TaxCode,0),0,1,1)))</f>
        <v>0</v>
      </c>
      <c r="N280" s="342">
        <f ca="1">$O280/(1+IF(ISERROR($F280),0,IF(ISNA(MATCH($F280,TaxCode,0)),0,OFFSET(Setup!$D$23,MATCH($F280,TaxCode,0),0,1,1)))+IF(ISERROR($G280),0,IF(ISNA(MATCH($G280,TaxCode,0)),0,OFFSET(Setup!$D$23,MATCH($G280,TaxCode,0),0,1,1))))*IF(ISERROR($G280),0,IF(ISNA(MATCH($G280,TaxCode,0)),0,OFFSET(Setup!$D$23,MATCH($G280,TaxCode,0),0,1,1)))</f>
        <v>0</v>
      </c>
      <c r="O280" s="342">
        <f t="shared" si="15"/>
        <v>0</v>
      </c>
      <c r="P280" s="308" t="str">
        <f t="shared" ca="1" si="16"/>
        <v>-</v>
      </c>
    </row>
    <row r="281" spans="11:16" ht="15.95" customHeight="1" x14ac:dyDescent="0.25">
      <c r="K281" s="308">
        <f t="shared" ca="1" si="14"/>
        <v>0</v>
      </c>
      <c r="L281" s="342" cm="1">
        <f t="array" aca="1" ref="L281" ca="1">O281-IF(ExpTaxCount=2,SUM(M281:N281),SUM(M281:M281))</f>
        <v>0</v>
      </c>
      <c r="M281" s="342">
        <f ca="1">$O281/(1+IF(ISERROR($F281),0,IF(ISNA(MATCH($F281,TaxCode,0)),0,OFFSET(Setup!$D$23,MATCH($F281,TaxCode,0),0,1,1)))+IF(ISERROR($G281),0,IF(ISNA(MATCH($G281,TaxCode,0)),0,OFFSET(Setup!$D$23,MATCH($G281,TaxCode,0),0,1,1))))*IF(ISERROR($F281),0,IF(ISNA(MATCH($F281,TaxCode,0)),0,OFFSET(Setup!$D$23,MATCH($F281,TaxCode,0),0,1,1)))</f>
        <v>0</v>
      </c>
      <c r="N281" s="342">
        <f ca="1">$O281/(1+IF(ISERROR($F281),0,IF(ISNA(MATCH($F281,TaxCode,0)),0,OFFSET(Setup!$D$23,MATCH($F281,TaxCode,0),0,1,1)))+IF(ISERROR($G281),0,IF(ISNA(MATCH($G281,TaxCode,0)),0,OFFSET(Setup!$D$23,MATCH($G281,TaxCode,0),0,1,1))))*IF(ISERROR($G281),0,IF(ISNA(MATCH($G281,TaxCode,0)),0,OFFSET(Setup!$D$23,MATCH($G281,TaxCode,0),0,1,1)))</f>
        <v>0</v>
      </c>
      <c r="O281" s="342">
        <f t="shared" si="15"/>
        <v>0</v>
      </c>
      <c r="P281" s="308" t="str">
        <f t="shared" ca="1" si="16"/>
        <v>-</v>
      </c>
    </row>
    <row r="282" spans="11:16" ht="15.95" customHeight="1" x14ac:dyDescent="0.25">
      <c r="K282" s="308">
        <f t="shared" ca="1" si="14"/>
        <v>0</v>
      </c>
      <c r="L282" s="342" cm="1">
        <f t="array" aca="1" ref="L282" ca="1">O282-IF(ExpTaxCount=2,SUM(M282:N282),SUM(M282:M282))</f>
        <v>0</v>
      </c>
      <c r="M282" s="342">
        <f ca="1">$O282/(1+IF(ISERROR($F282),0,IF(ISNA(MATCH($F282,TaxCode,0)),0,OFFSET(Setup!$D$23,MATCH($F282,TaxCode,0),0,1,1)))+IF(ISERROR($G282),0,IF(ISNA(MATCH($G282,TaxCode,0)),0,OFFSET(Setup!$D$23,MATCH($G282,TaxCode,0),0,1,1))))*IF(ISERROR($F282),0,IF(ISNA(MATCH($F282,TaxCode,0)),0,OFFSET(Setup!$D$23,MATCH($F282,TaxCode,0),0,1,1)))</f>
        <v>0</v>
      </c>
      <c r="N282" s="342">
        <f ca="1">$O282/(1+IF(ISERROR($F282),0,IF(ISNA(MATCH($F282,TaxCode,0)),0,OFFSET(Setup!$D$23,MATCH($F282,TaxCode,0),0,1,1)))+IF(ISERROR($G282),0,IF(ISNA(MATCH($G282,TaxCode,0)),0,OFFSET(Setup!$D$23,MATCH($G282,TaxCode,0),0,1,1))))*IF(ISERROR($G282),0,IF(ISNA(MATCH($G282,TaxCode,0)),0,OFFSET(Setup!$D$23,MATCH($G282,TaxCode,0),0,1,1)))</f>
        <v>0</v>
      </c>
      <c r="O282" s="342">
        <f t="shared" si="15"/>
        <v>0</v>
      </c>
      <c r="P282" s="308" t="str">
        <f t="shared" ca="1" si="16"/>
        <v>-</v>
      </c>
    </row>
    <row r="283" spans="11:16" ht="15.95" customHeight="1" x14ac:dyDescent="0.25">
      <c r="K283" s="308">
        <f t="shared" ca="1" si="14"/>
        <v>0</v>
      </c>
      <c r="L283" s="342" cm="1">
        <f t="array" aca="1" ref="L283" ca="1">O283-IF(ExpTaxCount=2,SUM(M283:N283),SUM(M283:M283))</f>
        <v>0</v>
      </c>
      <c r="M283" s="342">
        <f ca="1">$O283/(1+IF(ISERROR($F283),0,IF(ISNA(MATCH($F283,TaxCode,0)),0,OFFSET(Setup!$D$23,MATCH($F283,TaxCode,0),0,1,1)))+IF(ISERROR($G283),0,IF(ISNA(MATCH($G283,TaxCode,0)),0,OFFSET(Setup!$D$23,MATCH($G283,TaxCode,0),0,1,1))))*IF(ISERROR($F283),0,IF(ISNA(MATCH($F283,TaxCode,0)),0,OFFSET(Setup!$D$23,MATCH($F283,TaxCode,0),0,1,1)))</f>
        <v>0</v>
      </c>
      <c r="N283" s="342">
        <f ca="1">$O283/(1+IF(ISERROR($F283),0,IF(ISNA(MATCH($F283,TaxCode,0)),0,OFFSET(Setup!$D$23,MATCH($F283,TaxCode,0),0,1,1)))+IF(ISERROR($G283),0,IF(ISNA(MATCH($G283,TaxCode,0)),0,OFFSET(Setup!$D$23,MATCH($G283,TaxCode,0),0,1,1))))*IF(ISERROR($G283),0,IF(ISNA(MATCH($G283,TaxCode,0)),0,OFFSET(Setup!$D$23,MATCH($G283,TaxCode,0),0,1,1)))</f>
        <v>0</v>
      </c>
      <c r="O283" s="342">
        <f t="shared" si="15"/>
        <v>0</v>
      </c>
      <c r="P283" s="308" t="str">
        <f t="shared" ca="1" si="16"/>
        <v>-</v>
      </c>
    </row>
    <row r="284" spans="11:16" ht="15.95" customHeight="1" x14ac:dyDescent="0.25">
      <c r="K284" s="308">
        <f t="shared" ca="1" si="14"/>
        <v>0</v>
      </c>
      <c r="L284" s="342" cm="1">
        <f t="array" aca="1" ref="L284" ca="1">O284-IF(ExpTaxCount=2,SUM(M284:N284),SUM(M284:M284))</f>
        <v>0</v>
      </c>
      <c r="M284" s="342">
        <f ca="1">$O284/(1+IF(ISERROR($F284),0,IF(ISNA(MATCH($F284,TaxCode,0)),0,OFFSET(Setup!$D$23,MATCH($F284,TaxCode,0),0,1,1)))+IF(ISERROR($G284),0,IF(ISNA(MATCH($G284,TaxCode,0)),0,OFFSET(Setup!$D$23,MATCH($G284,TaxCode,0),0,1,1))))*IF(ISERROR($F284),0,IF(ISNA(MATCH($F284,TaxCode,0)),0,OFFSET(Setup!$D$23,MATCH($F284,TaxCode,0),0,1,1)))</f>
        <v>0</v>
      </c>
      <c r="N284" s="342">
        <f ca="1">$O284/(1+IF(ISERROR($F284),0,IF(ISNA(MATCH($F284,TaxCode,0)),0,OFFSET(Setup!$D$23,MATCH($F284,TaxCode,0),0,1,1)))+IF(ISERROR($G284),0,IF(ISNA(MATCH($G284,TaxCode,0)),0,OFFSET(Setup!$D$23,MATCH($G284,TaxCode,0),0,1,1))))*IF(ISERROR($G284),0,IF(ISNA(MATCH($G284,TaxCode,0)),0,OFFSET(Setup!$D$23,MATCH($G284,TaxCode,0),0,1,1)))</f>
        <v>0</v>
      </c>
      <c r="O284" s="342">
        <f t="shared" si="15"/>
        <v>0</v>
      </c>
      <c r="P284" s="308" t="str">
        <f t="shared" ca="1" si="16"/>
        <v>-</v>
      </c>
    </row>
    <row r="285" spans="11:16" ht="15.95" customHeight="1" x14ac:dyDescent="0.25">
      <c r="K285" s="308">
        <f t="shared" ca="1" si="14"/>
        <v>0</v>
      </c>
      <c r="L285" s="342" cm="1">
        <f t="array" aca="1" ref="L285" ca="1">O285-IF(ExpTaxCount=2,SUM(M285:N285),SUM(M285:M285))</f>
        <v>0</v>
      </c>
      <c r="M285" s="342">
        <f ca="1">$O285/(1+IF(ISERROR($F285),0,IF(ISNA(MATCH($F285,TaxCode,0)),0,OFFSET(Setup!$D$23,MATCH($F285,TaxCode,0),0,1,1)))+IF(ISERROR($G285),0,IF(ISNA(MATCH($G285,TaxCode,0)),0,OFFSET(Setup!$D$23,MATCH($G285,TaxCode,0),0,1,1))))*IF(ISERROR($F285),0,IF(ISNA(MATCH($F285,TaxCode,0)),0,OFFSET(Setup!$D$23,MATCH($F285,TaxCode,0),0,1,1)))</f>
        <v>0</v>
      </c>
      <c r="N285" s="342">
        <f ca="1">$O285/(1+IF(ISERROR($F285),0,IF(ISNA(MATCH($F285,TaxCode,0)),0,OFFSET(Setup!$D$23,MATCH($F285,TaxCode,0),0,1,1)))+IF(ISERROR($G285),0,IF(ISNA(MATCH($G285,TaxCode,0)),0,OFFSET(Setup!$D$23,MATCH($G285,TaxCode,0),0,1,1))))*IF(ISERROR($G285),0,IF(ISNA(MATCH($G285,TaxCode,0)),0,OFFSET(Setup!$D$23,MATCH($G285,TaxCode,0),0,1,1)))</f>
        <v>0</v>
      </c>
      <c r="O285" s="342">
        <f t="shared" si="15"/>
        <v>0</v>
      </c>
      <c r="P285" s="308" t="str">
        <f t="shared" ca="1" si="16"/>
        <v>-</v>
      </c>
    </row>
    <row r="286" spans="11:16" ht="15.95" customHeight="1" x14ac:dyDescent="0.25">
      <c r="K286" s="308">
        <f t="shared" ca="1" si="14"/>
        <v>0</v>
      </c>
      <c r="L286" s="342" cm="1">
        <f t="array" aca="1" ref="L286" ca="1">O286-IF(ExpTaxCount=2,SUM(M286:N286),SUM(M286:M286))</f>
        <v>0</v>
      </c>
      <c r="M286" s="342">
        <f ca="1">$O286/(1+IF(ISERROR($F286),0,IF(ISNA(MATCH($F286,TaxCode,0)),0,OFFSET(Setup!$D$23,MATCH($F286,TaxCode,0),0,1,1)))+IF(ISERROR($G286),0,IF(ISNA(MATCH($G286,TaxCode,0)),0,OFFSET(Setup!$D$23,MATCH($G286,TaxCode,0),0,1,1))))*IF(ISERROR($F286),0,IF(ISNA(MATCH($F286,TaxCode,0)),0,OFFSET(Setup!$D$23,MATCH($F286,TaxCode,0),0,1,1)))</f>
        <v>0</v>
      </c>
      <c r="N286" s="342">
        <f ca="1">$O286/(1+IF(ISERROR($F286),0,IF(ISNA(MATCH($F286,TaxCode,0)),0,OFFSET(Setup!$D$23,MATCH($F286,TaxCode,0),0,1,1)))+IF(ISERROR($G286),0,IF(ISNA(MATCH($G286,TaxCode,0)),0,OFFSET(Setup!$D$23,MATCH($G286,TaxCode,0),0,1,1))))*IF(ISERROR($G286),0,IF(ISNA(MATCH($G286,TaxCode,0)),0,OFFSET(Setup!$D$23,MATCH($G286,TaxCode,0),0,1,1)))</f>
        <v>0</v>
      </c>
      <c r="O286" s="342">
        <f t="shared" si="15"/>
        <v>0</v>
      </c>
      <c r="P286" s="308" t="str">
        <f t="shared" ca="1" si="16"/>
        <v>-</v>
      </c>
    </row>
    <row r="287" spans="11:16" ht="15.95" customHeight="1" x14ac:dyDescent="0.25">
      <c r="K287" s="308">
        <f t="shared" ca="1" si="14"/>
        <v>0</v>
      </c>
      <c r="L287" s="342" cm="1">
        <f t="array" aca="1" ref="L287" ca="1">O287-IF(ExpTaxCount=2,SUM(M287:N287),SUM(M287:M287))</f>
        <v>0</v>
      </c>
      <c r="M287" s="342">
        <f ca="1">$O287/(1+IF(ISERROR($F287),0,IF(ISNA(MATCH($F287,TaxCode,0)),0,OFFSET(Setup!$D$23,MATCH($F287,TaxCode,0),0,1,1)))+IF(ISERROR($G287),0,IF(ISNA(MATCH($G287,TaxCode,0)),0,OFFSET(Setup!$D$23,MATCH($G287,TaxCode,0),0,1,1))))*IF(ISERROR($F287),0,IF(ISNA(MATCH($F287,TaxCode,0)),0,OFFSET(Setup!$D$23,MATCH($F287,TaxCode,0),0,1,1)))</f>
        <v>0</v>
      </c>
      <c r="N287" s="342">
        <f ca="1">$O287/(1+IF(ISERROR($F287),0,IF(ISNA(MATCH($F287,TaxCode,0)),0,OFFSET(Setup!$D$23,MATCH($F287,TaxCode,0),0,1,1)))+IF(ISERROR($G287),0,IF(ISNA(MATCH($G287,TaxCode,0)),0,OFFSET(Setup!$D$23,MATCH($G287,TaxCode,0),0,1,1))))*IF(ISERROR($G287),0,IF(ISNA(MATCH($G287,TaxCode,0)),0,OFFSET(Setup!$D$23,MATCH($G287,TaxCode,0),0,1,1)))</f>
        <v>0</v>
      </c>
      <c r="O287" s="342">
        <f t="shared" si="15"/>
        <v>0</v>
      </c>
      <c r="P287" s="308" t="str">
        <f t="shared" ca="1" si="16"/>
        <v>-</v>
      </c>
    </row>
    <row r="288" spans="11:16" ht="15.95" customHeight="1" x14ac:dyDescent="0.25">
      <c r="K288" s="308">
        <f t="shared" ca="1" si="14"/>
        <v>0</v>
      </c>
      <c r="L288" s="342" cm="1">
        <f t="array" aca="1" ref="L288" ca="1">O288-IF(ExpTaxCount=2,SUM(M288:N288),SUM(M288:M288))</f>
        <v>0</v>
      </c>
      <c r="M288" s="342">
        <f ca="1">$O288/(1+IF(ISERROR($F288),0,IF(ISNA(MATCH($F288,TaxCode,0)),0,OFFSET(Setup!$D$23,MATCH($F288,TaxCode,0),0,1,1)))+IF(ISERROR($G288),0,IF(ISNA(MATCH($G288,TaxCode,0)),0,OFFSET(Setup!$D$23,MATCH($G288,TaxCode,0),0,1,1))))*IF(ISERROR($F288),0,IF(ISNA(MATCH($F288,TaxCode,0)),0,OFFSET(Setup!$D$23,MATCH($F288,TaxCode,0),0,1,1)))</f>
        <v>0</v>
      </c>
      <c r="N288" s="342">
        <f ca="1">$O288/(1+IF(ISERROR($F288),0,IF(ISNA(MATCH($F288,TaxCode,0)),0,OFFSET(Setup!$D$23,MATCH($F288,TaxCode,0),0,1,1)))+IF(ISERROR($G288),0,IF(ISNA(MATCH($G288,TaxCode,0)),0,OFFSET(Setup!$D$23,MATCH($G288,TaxCode,0),0,1,1))))*IF(ISERROR($G288),0,IF(ISNA(MATCH($G288,TaxCode,0)),0,OFFSET(Setup!$D$23,MATCH($G288,TaxCode,0),0,1,1)))</f>
        <v>0</v>
      </c>
      <c r="O288" s="342">
        <f t="shared" si="15"/>
        <v>0</v>
      </c>
      <c r="P288" s="308" t="str">
        <f t="shared" ca="1" si="16"/>
        <v>-</v>
      </c>
    </row>
    <row r="289" spans="11:16" ht="15.95" customHeight="1" x14ac:dyDescent="0.25">
      <c r="K289" s="308">
        <f t="shared" ca="1" si="14"/>
        <v>0</v>
      </c>
      <c r="L289" s="342" cm="1">
        <f t="array" aca="1" ref="L289" ca="1">O289-IF(ExpTaxCount=2,SUM(M289:N289),SUM(M289:M289))</f>
        <v>0</v>
      </c>
      <c r="M289" s="342">
        <f ca="1">$O289/(1+IF(ISERROR($F289),0,IF(ISNA(MATCH($F289,TaxCode,0)),0,OFFSET(Setup!$D$23,MATCH($F289,TaxCode,0),0,1,1)))+IF(ISERROR($G289),0,IF(ISNA(MATCH($G289,TaxCode,0)),0,OFFSET(Setup!$D$23,MATCH($G289,TaxCode,0),0,1,1))))*IF(ISERROR($F289),0,IF(ISNA(MATCH($F289,TaxCode,0)),0,OFFSET(Setup!$D$23,MATCH($F289,TaxCode,0),0,1,1)))</f>
        <v>0</v>
      </c>
      <c r="N289" s="342">
        <f ca="1">$O289/(1+IF(ISERROR($F289),0,IF(ISNA(MATCH($F289,TaxCode,0)),0,OFFSET(Setup!$D$23,MATCH($F289,TaxCode,0),0,1,1)))+IF(ISERROR($G289),0,IF(ISNA(MATCH($G289,TaxCode,0)),0,OFFSET(Setup!$D$23,MATCH($G289,TaxCode,0),0,1,1))))*IF(ISERROR($G289),0,IF(ISNA(MATCH($G289,TaxCode,0)),0,OFFSET(Setup!$D$23,MATCH($G289,TaxCode,0),0,1,1)))</f>
        <v>0</v>
      </c>
      <c r="O289" s="342">
        <f t="shared" si="15"/>
        <v>0</v>
      </c>
      <c r="P289" s="308" t="str">
        <f t="shared" ca="1" si="16"/>
        <v>-</v>
      </c>
    </row>
    <row r="290" spans="11:16" ht="15.95" customHeight="1" x14ac:dyDescent="0.25">
      <c r="K290" s="308">
        <f t="shared" ca="1" si="14"/>
        <v>0</v>
      </c>
      <c r="L290" s="342" cm="1">
        <f t="array" aca="1" ref="L290" ca="1">O290-IF(ExpTaxCount=2,SUM(M290:N290),SUM(M290:M290))</f>
        <v>0</v>
      </c>
      <c r="M290" s="342">
        <f ca="1">$O290/(1+IF(ISERROR($F290),0,IF(ISNA(MATCH($F290,TaxCode,0)),0,OFFSET(Setup!$D$23,MATCH($F290,TaxCode,0),0,1,1)))+IF(ISERROR($G290),0,IF(ISNA(MATCH($G290,TaxCode,0)),0,OFFSET(Setup!$D$23,MATCH($G290,TaxCode,0),0,1,1))))*IF(ISERROR($F290),0,IF(ISNA(MATCH($F290,TaxCode,0)),0,OFFSET(Setup!$D$23,MATCH($F290,TaxCode,0),0,1,1)))</f>
        <v>0</v>
      </c>
      <c r="N290" s="342">
        <f ca="1">$O290/(1+IF(ISERROR($F290),0,IF(ISNA(MATCH($F290,TaxCode,0)),0,OFFSET(Setup!$D$23,MATCH($F290,TaxCode,0),0,1,1)))+IF(ISERROR($G290),0,IF(ISNA(MATCH($G290,TaxCode,0)),0,OFFSET(Setup!$D$23,MATCH($G290,TaxCode,0),0,1,1))))*IF(ISERROR($G290),0,IF(ISNA(MATCH($G290,TaxCode,0)),0,OFFSET(Setup!$D$23,MATCH($G290,TaxCode,0),0,1,1)))</f>
        <v>0</v>
      </c>
      <c r="O290" s="342">
        <f t="shared" si="15"/>
        <v>0</v>
      </c>
      <c r="P290" s="308" t="str">
        <f t="shared" ca="1" si="16"/>
        <v>-</v>
      </c>
    </row>
    <row r="291" spans="11:16" ht="15.95" customHeight="1" x14ac:dyDescent="0.25">
      <c r="K291" s="308">
        <f t="shared" ca="1" si="14"/>
        <v>0</v>
      </c>
      <c r="L291" s="342" cm="1">
        <f t="array" aca="1" ref="L291" ca="1">O291-IF(ExpTaxCount=2,SUM(M291:N291),SUM(M291:M291))</f>
        <v>0</v>
      </c>
      <c r="M291" s="342">
        <f ca="1">$O291/(1+IF(ISERROR($F291),0,IF(ISNA(MATCH($F291,TaxCode,0)),0,OFFSET(Setup!$D$23,MATCH($F291,TaxCode,0),0,1,1)))+IF(ISERROR($G291),0,IF(ISNA(MATCH($G291,TaxCode,0)),0,OFFSET(Setup!$D$23,MATCH($G291,TaxCode,0),0,1,1))))*IF(ISERROR($F291),0,IF(ISNA(MATCH($F291,TaxCode,0)),0,OFFSET(Setup!$D$23,MATCH($F291,TaxCode,0),0,1,1)))</f>
        <v>0</v>
      </c>
      <c r="N291" s="342">
        <f ca="1">$O291/(1+IF(ISERROR($F291),0,IF(ISNA(MATCH($F291,TaxCode,0)),0,OFFSET(Setup!$D$23,MATCH($F291,TaxCode,0),0,1,1)))+IF(ISERROR($G291),0,IF(ISNA(MATCH($G291,TaxCode,0)),0,OFFSET(Setup!$D$23,MATCH($G291,TaxCode,0),0,1,1))))*IF(ISERROR($G291),0,IF(ISNA(MATCH($G291,TaxCode,0)),0,OFFSET(Setup!$D$23,MATCH($G291,TaxCode,0),0,1,1)))</f>
        <v>0</v>
      </c>
      <c r="O291" s="342">
        <f t="shared" si="15"/>
        <v>0</v>
      </c>
      <c r="P291" s="308" t="str">
        <f t="shared" ca="1" si="16"/>
        <v>-</v>
      </c>
    </row>
    <row r="292" spans="11:16" ht="15.95" customHeight="1" x14ac:dyDescent="0.25">
      <c r="K292" s="308">
        <f t="shared" ca="1" si="14"/>
        <v>0</v>
      </c>
      <c r="L292" s="342" cm="1">
        <f t="array" aca="1" ref="L292" ca="1">O292-IF(ExpTaxCount=2,SUM(M292:N292),SUM(M292:M292))</f>
        <v>0</v>
      </c>
      <c r="M292" s="342">
        <f ca="1">$O292/(1+IF(ISERROR($F292),0,IF(ISNA(MATCH($F292,TaxCode,0)),0,OFFSET(Setup!$D$23,MATCH($F292,TaxCode,0),0,1,1)))+IF(ISERROR($G292),0,IF(ISNA(MATCH($G292,TaxCode,0)),0,OFFSET(Setup!$D$23,MATCH($G292,TaxCode,0),0,1,1))))*IF(ISERROR($F292),0,IF(ISNA(MATCH($F292,TaxCode,0)),0,OFFSET(Setup!$D$23,MATCH($F292,TaxCode,0),0,1,1)))</f>
        <v>0</v>
      </c>
      <c r="N292" s="342">
        <f ca="1">$O292/(1+IF(ISERROR($F292),0,IF(ISNA(MATCH($F292,TaxCode,0)),0,OFFSET(Setup!$D$23,MATCH($F292,TaxCode,0),0,1,1)))+IF(ISERROR($G292),0,IF(ISNA(MATCH($G292,TaxCode,0)),0,OFFSET(Setup!$D$23,MATCH($G292,TaxCode,0),0,1,1))))*IF(ISERROR($G292),0,IF(ISNA(MATCH($G292,TaxCode,0)),0,OFFSET(Setup!$D$23,MATCH($G292,TaxCode,0),0,1,1)))</f>
        <v>0</v>
      </c>
      <c r="O292" s="342">
        <f t="shared" si="15"/>
        <v>0</v>
      </c>
      <c r="P292" s="308" t="str">
        <f t="shared" ca="1" si="16"/>
        <v>-</v>
      </c>
    </row>
    <row r="293" spans="11:16" ht="15.95" customHeight="1" x14ac:dyDescent="0.25">
      <c r="K293" s="308">
        <f t="shared" ca="1" si="14"/>
        <v>0</v>
      </c>
      <c r="L293" s="342" cm="1">
        <f t="array" aca="1" ref="L293" ca="1">O293-IF(ExpTaxCount=2,SUM(M293:N293),SUM(M293:M293))</f>
        <v>0</v>
      </c>
      <c r="M293" s="342">
        <f ca="1">$O293/(1+IF(ISERROR($F293),0,IF(ISNA(MATCH($F293,TaxCode,0)),0,OFFSET(Setup!$D$23,MATCH($F293,TaxCode,0),0,1,1)))+IF(ISERROR($G293),0,IF(ISNA(MATCH($G293,TaxCode,0)),0,OFFSET(Setup!$D$23,MATCH($G293,TaxCode,0),0,1,1))))*IF(ISERROR($F293),0,IF(ISNA(MATCH($F293,TaxCode,0)),0,OFFSET(Setup!$D$23,MATCH($F293,TaxCode,0),0,1,1)))</f>
        <v>0</v>
      </c>
      <c r="N293" s="342">
        <f ca="1">$O293/(1+IF(ISERROR($F293),0,IF(ISNA(MATCH($F293,TaxCode,0)),0,OFFSET(Setup!$D$23,MATCH($F293,TaxCode,0),0,1,1)))+IF(ISERROR($G293),0,IF(ISNA(MATCH($G293,TaxCode,0)),0,OFFSET(Setup!$D$23,MATCH($G293,TaxCode,0),0,1,1))))*IF(ISERROR($G293),0,IF(ISNA(MATCH($G293,TaxCode,0)),0,OFFSET(Setup!$D$23,MATCH($G293,TaxCode,0),0,1,1)))</f>
        <v>0</v>
      </c>
      <c r="O293" s="342">
        <f t="shared" si="15"/>
        <v>0</v>
      </c>
      <c r="P293" s="308" t="str">
        <f t="shared" ca="1" si="16"/>
        <v>-</v>
      </c>
    </row>
    <row r="294" spans="11:16" ht="15.95" customHeight="1" x14ac:dyDescent="0.25">
      <c r="K294" s="308">
        <f t="shared" ca="1" si="14"/>
        <v>0</v>
      </c>
      <c r="L294" s="342" cm="1">
        <f t="array" aca="1" ref="L294" ca="1">O294-IF(ExpTaxCount=2,SUM(M294:N294),SUM(M294:M294))</f>
        <v>0</v>
      </c>
      <c r="M294" s="342">
        <f ca="1">$O294/(1+IF(ISERROR($F294),0,IF(ISNA(MATCH($F294,TaxCode,0)),0,OFFSET(Setup!$D$23,MATCH($F294,TaxCode,0),0,1,1)))+IF(ISERROR($G294),0,IF(ISNA(MATCH($G294,TaxCode,0)),0,OFFSET(Setup!$D$23,MATCH($G294,TaxCode,0),0,1,1))))*IF(ISERROR($F294),0,IF(ISNA(MATCH($F294,TaxCode,0)),0,OFFSET(Setup!$D$23,MATCH($F294,TaxCode,0),0,1,1)))</f>
        <v>0</v>
      </c>
      <c r="N294" s="342">
        <f ca="1">$O294/(1+IF(ISERROR($F294),0,IF(ISNA(MATCH($F294,TaxCode,0)),0,OFFSET(Setup!$D$23,MATCH($F294,TaxCode,0),0,1,1)))+IF(ISERROR($G294),0,IF(ISNA(MATCH($G294,TaxCode,0)),0,OFFSET(Setup!$D$23,MATCH($G294,TaxCode,0),0,1,1))))*IF(ISERROR($G294),0,IF(ISNA(MATCH($G294,TaxCode,0)),0,OFFSET(Setup!$D$23,MATCH($G294,TaxCode,0),0,1,1)))</f>
        <v>0</v>
      </c>
      <c r="O294" s="342">
        <f t="shared" si="15"/>
        <v>0</v>
      </c>
      <c r="P294" s="308" t="str">
        <f t="shared" ca="1" si="16"/>
        <v>-</v>
      </c>
    </row>
    <row r="295" spans="11:16" ht="15.95" customHeight="1" x14ac:dyDescent="0.25">
      <c r="K295" s="308">
        <f t="shared" ca="1" si="14"/>
        <v>0</v>
      </c>
      <c r="L295" s="342" cm="1">
        <f t="array" aca="1" ref="L295" ca="1">O295-IF(ExpTaxCount=2,SUM(M295:N295),SUM(M295:M295))</f>
        <v>0</v>
      </c>
      <c r="M295" s="342">
        <f ca="1">$O295/(1+IF(ISERROR($F295),0,IF(ISNA(MATCH($F295,TaxCode,0)),0,OFFSET(Setup!$D$23,MATCH($F295,TaxCode,0),0,1,1)))+IF(ISERROR($G295),0,IF(ISNA(MATCH($G295,TaxCode,0)),0,OFFSET(Setup!$D$23,MATCH($G295,TaxCode,0),0,1,1))))*IF(ISERROR($F295),0,IF(ISNA(MATCH($F295,TaxCode,0)),0,OFFSET(Setup!$D$23,MATCH($F295,TaxCode,0),0,1,1)))</f>
        <v>0</v>
      </c>
      <c r="N295" s="342">
        <f ca="1">$O295/(1+IF(ISERROR($F295),0,IF(ISNA(MATCH($F295,TaxCode,0)),0,OFFSET(Setup!$D$23,MATCH($F295,TaxCode,0),0,1,1)))+IF(ISERROR($G295),0,IF(ISNA(MATCH($G295,TaxCode,0)),0,OFFSET(Setup!$D$23,MATCH($G295,TaxCode,0),0,1,1))))*IF(ISERROR($G295),0,IF(ISNA(MATCH($G295,TaxCode,0)),0,OFFSET(Setup!$D$23,MATCH($G295,TaxCode,0),0,1,1)))</f>
        <v>0</v>
      </c>
      <c r="O295" s="342">
        <f t="shared" si="15"/>
        <v>0</v>
      </c>
      <c r="P295" s="308" t="str">
        <f t="shared" ca="1" si="16"/>
        <v>-</v>
      </c>
    </row>
    <row r="296" spans="11:16" ht="15.95" customHeight="1" x14ac:dyDescent="0.25">
      <c r="K296" s="308">
        <f t="shared" ca="1" si="14"/>
        <v>0</v>
      </c>
      <c r="L296" s="342" cm="1">
        <f t="array" aca="1" ref="L296" ca="1">O296-IF(ExpTaxCount=2,SUM(M296:N296),SUM(M296:M296))</f>
        <v>0</v>
      </c>
      <c r="M296" s="342">
        <f ca="1">$O296/(1+IF(ISERROR($F296),0,IF(ISNA(MATCH($F296,TaxCode,0)),0,OFFSET(Setup!$D$23,MATCH($F296,TaxCode,0),0,1,1)))+IF(ISERROR($G296),0,IF(ISNA(MATCH($G296,TaxCode,0)),0,OFFSET(Setup!$D$23,MATCH($G296,TaxCode,0),0,1,1))))*IF(ISERROR($F296),0,IF(ISNA(MATCH($F296,TaxCode,0)),0,OFFSET(Setup!$D$23,MATCH($F296,TaxCode,0),0,1,1)))</f>
        <v>0</v>
      </c>
      <c r="N296" s="342">
        <f ca="1">$O296/(1+IF(ISERROR($F296),0,IF(ISNA(MATCH($F296,TaxCode,0)),0,OFFSET(Setup!$D$23,MATCH($F296,TaxCode,0),0,1,1)))+IF(ISERROR($G296),0,IF(ISNA(MATCH($G296,TaxCode,0)),0,OFFSET(Setup!$D$23,MATCH($G296,TaxCode,0),0,1,1))))*IF(ISERROR($G296),0,IF(ISNA(MATCH($G296,TaxCode,0)),0,OFFSET(Setup!$D$23,MATCH($G296,TaxCode,0),0,1,1)))</f>
        <v>0</v>
      </c>
      <c r="O296" s="342">
        <f t="shared" si="15"/>
        <v>0</v>
      </c>
      <c r="P296" s="308" t="str">
        <f t="shared" ca="1" si="16"/>
        <v>-</v>
      </c>
    </row>
    <row r="297" spans="11:16" ht="15.95" customHeight="1" x14ac:dyDescent="0.25">
      <c r="K297" s="308">
        <f t="shared" ca="1" si="14"/>
        <v>0</v>
      </c>
      <c r="L297" s="342" cm="1">
        <f t="array" aca="1" ref="L297" ca="1">O297-IF(ExpTaxCount=2,SUM(M297:N297),SUM(M297:M297))</f>
        <v>0</v>
      </c>
      <c r="M297" s="342">
        <f ca="1">$O297/(1+IF(ISERROR($F297),0,IF(ISNA(MATCH($F297,TaxCode,0)),0,OFFSET(Setup!$D$23,MATCH($F297,TaxCode,0),0,1,1)))+IF(ISERROR($G297),0,IF(ISNA(MATCH($G297,TaxCode,0)),0,OFFSET(Setup!$D$23,MATCH($G297,TaxCode,0),0,1,1))))*IF(ISERROR($F297),0,IF(ISNA(MATCH($F297,TaxCode,0)),0,OFFSET(Setup!$D$23,MATCH($F297,TaxCode,0),0,1,1)))</f>
        <v>0</v>
      </c>
      <c r="N297" s="342">
        <f ca="1">$O297/(1+IF(ISERROR($F297),0,IF(ISNA(MATCH($F297,TaxCode,0)),0,OFFSET(Setup!$D$23,MATCH($F297,TaxCode,0),0,1,1)))+IF(ISERROR($G297),0,IF(ISNA(MATCH($G297,TaxCode,0)),0,OFFSET(Setup!$D$23,MATCH($G297,TaxCode,0),0,1,1))))*IF(ISERROR($G297),0,IF(ISNA(MATCH($G297,TaxCode,0)),0,OFFSET(Setup!$D$23,MATCH($G297,TaxCode,0),0,1,1)))</f>
        <v>0</v>
      </c>
      <c r="O297" s="342">
        <f t="shared" si="15"/>
        <v>0</v>
      </c>
      <c r="P297" s="308" t="str">
        <f t="shared" ca="1" si="16"/>
        <v>-</v>
      </c>
    </row>
    <row r="298" spans="11:16" ht="15.95" customHeight="1" x14ac:dyDescent="0.25">
      <c r="K298" s="308">
        <f t="shared" ca="1" si="14"/>
        <v>0</v>
      </c>
      <c r="L298" s="342" cm="1">
        <f t="array" aca="1" ref="L298" ca="1">O298-IF(ExpTaxCount=2,SUM(M298:N298),SUM(M298:M298))</f>
        <v>0</v>
      </c>
      <c r="M298" s="342">
        <f ca="1">$O298/(1+IF(ISERROR($F298),0,IF(ISNA(MATCH($F298,TaxCode,0)),0,OFFSET(Setup!$D$23,MATCH($F298,TaxCode,0),0,1,1)))+IF(ISERROR($G298),0,IF(ISNA(MATCH($G298,TaxCode,0)),0,OFFSET(Setup!$D$23,MATCH($G298,TaxCode,0),0,1,1))))*IF(ISERROR($F298),0,IF(ISNA(MATCH($F298,TaxCode,0)),0,OFFSET(Setup!$D$23,MATCH($F298,TaxCode,0),0,1,1)))</f>
        <v>0</v>
      </c>
      <c r="N298" s="342">
        <f ca="1">$O298/(1+IF(ISERROR($F298),0,IF(ISNA(MATCH($F298,TaxCode,0)),0,OFFSET(Setup!$D$23,MATCH($F298,TaxCode,0),0,1,1)))+IF(ISERROR($G298),0,IF(ISNA(MATCH($G298,TaxCode,0)),0,OFFSET(Setup!$D$23,MATCH($G298,TaxCode,0),0,1,1))))*IF(ISERROR($G298),0,IF(ISNA(MATCH($G298,TaxCode,0)),0,OFFSET(Setup!$D$23,MATCH($G298,TaxCode,0),0,1,1)))</f>
        <v>0</v>
      </c>
      <c r="O298" s="342">
        <f t="shared" si="15"/>
        <v>0</v>
      </c>
      <c r="P298" s="308" t="str">
        <f t="shared" ca="1" si="16"/>
        <v>-</v>
      </c>
    </row>
    <row r="299" spans="11:16" ht="15.95" customHeight="1" x14ac:dyDescent="0.25">
      <c r="K299" s="308">
        <f t="shared" ca="1" si="14"/>
        <v>0</v>
      </c>
      <c r="L299" s="342" cm="1">
        <f t="array" aca="1" ref="L299" ca="1">O299-IF(ExpTaxCount=2,SUM(M299:N299),SUM(M299:M299))</f>
        <v>0</v>
      </c>
      <c r="M299" s="342">
        <f ca="1">$O299/(1+IF(ISERROR($F299),0,IF(ISNA(MATCH($F299,TaxCode,0)),0,OFFSET(Setup!$D$23,MATCH($F299,TaxCode,0),0,1,1)))+IF(ISERROR($G299),0,IF(ISNA(MATCH($G299,TaxCode,0)),0,OFFSET(Setup!$D$23,MATCH($G299,TaxCode,0),0,1,1))))*IF(ISERROR($F299),0,IF(ISNA(MATCH($F299,TaxCode,0)),0,OFFSET(Setup!$D$23,MATCH($F299,TaxCode,0),0,1,1)))</f>
        <v>0</v>
      </c>
      <c r="N299" s="342">
        <f ca="1">$O299/(1+IF(ISERROR($F299),0,IF(ISNA(MATCH($F299,TaxCode,0)),0,OFFSET(Setup!$D$23,MATCH($F299,TaxCode,0),0,1,1)))+IF(ISERROR($G299),0,IF(ISNA(MATCH($G299,TaxCode,0)),0,OFFSET(Setup!$D$23,MATCH($G299,TaxCode,0),0,1,1))))*IF(ISERROR($G299),0,IF(ISNA(MATCH($G299,TaxCode,0)),0,OFFSET(Setup!$D$23,MATCH($G299,TaxCode,0),0,1,1)))</f>
        <v>0</v>
      </c>
      <c r="O299" s="342">
        <f t="shared" si="15"/>
        <v>0</v>
      </c>
      <c r="P299" s="308" t="str">
        <f t="shared" ca="1" si="16"/>
        <v>-</v>
      </c>
    </row>
    <row r="300" spans="11:16" ht="15.95" customHeight="1" x14ac:dyDescent="0.25">
      <c r="K300" s="308">
        <f t="shared" ca="1" si="14"/>
        <v>0</v>
      </c>
      <c r="L300" s="342" cm="1">
        <f t="array" aca="1" ref="L300" ca="1">O300-IF(ExpTaxCount=2,SUM(M300:N300),SUM(M300:M300))</f>
        <v>0</v>
      </c>
      <c r="M300" s="342">
        <f ca="1">$O300/(1+IF(ISERROR($F300),0,IF(ISNA(MATCH($F300,TaxCode,0)),0,OFFSET(Setup!$D$23,MATCH($F300,TaxCode,0),0,1,1)))+IF(ISERROR($G300),0,IF(ISNA(MATCH($G300,TaxCode,0)),0,OFFSET(Setup!$D$23,MATCH($G300,TaxCode,0),0,1,1))))*IF(ISERROR($F300),0,IF(ISNA(MATCH($F300,TaxCode,0)),0,OFFSET(Setup!$D$23,MATCH($F300,TaxCode,0),0,1,1)))</f>
        <v>0</v>
      </c>
      <c r="N300" s="342">
        <f ca="1">$O300/(1+IF(ISERROR($F300),0,IF(ISNA(MATCH($F300,TaxCode,0)),0,OFFSET(Setup!$D$23,MATCH($F300,TaxCode,0),0,1,1)))+IF(ISERROR($G300),0,IF(ISNA(MATCH($G300,TaxCode,0)),0,OFFSET(Setup!$D$23,MATCH($G300,TaxCode,0),0,1,1))))*IF(ISERROR($G300),0,IF(ISNA(MATCH($G300,TaxCode,0)),0,OFFSET(Setup!$D$23,MATCH($G300,TaxCode,0),0,1,1)))</f>
        <v>0</v>
      </c>
      <c r="O300" s="342">
        <f t="shared" si="15"/>
        <v>0</v>
      </c>
      <c r="P300" s="308" t="str">
        <f t="shared" ca="1" si="16"/>
        <v>-</v>
      </c>
    </row>
  </sheetData>
  <sheetProtection autoFilter="0"/>
  <phoneticPr fontId="2" type="noConversion"/>
  <conditionalFormatting sqref="H4">
    <cfRule type="expression" dxfId="23" priority="1">
      <formula>COUNTIF(ExpError,"E3")&gt;0=TRUE</formula>
    </cfRule>
  </conditionalFormatting>
  <conditionalFormatting sqref="I4">
    <cfRule type="expression" dxfId="22" priority="3">
      <formula>COUNTIF(ExpError,"E2")&gt;0=TRUE</formula>
    </cfRule>
  </conditionalFormatting>
  <conditionalFormatting sqref="J4">
    <cfRule type="expression" dxfId="21" priority="2">
      <formula>COUNTIF(ExpError,"E1")&gt;0=TRUE</formula>
    </cfRule>
  </conditionalFormatting>
  <dataValidations count="5">
    <dataValidation type="list" allowBlank="1" showInputMessage="1" showErrorMessage="1" errorTitle="Invalid Data" error="Select a valid item from the list box." sqref="F5:G300" xr:uid="{00000000-0002-0000-0A00-000000000000}">
      <formula1>TaxCode</formula1>
    </dataValidation>
    <dataValidation type="date" operator="greaterThan" allowBlank="1" showInputMessage="1" showErrorMessage="1" errorTitle="Invalid Date" error="Enter a valid date in accordance with the regional date settings that are specified in the System Control Panel." sqref="A5:A300 J5:J300" xr:uid="{00000000-0002-0000-0A00-000001000000}">
      <formula1>36526</formula1>
    </dataValidation>
    <dataValidation type="list" allowBlank="1" showInputMessage="1" showErrorMessage="1" errorTitle="Invalid Account" error="All accounts must be created on the Accounts sheet before being available for selection. The account number that you entered does not exist. Select a valid account number from the list box." sqref="I5:I300" xr:uid="{00000000-0002-0000-0A00-000002000000}">
      <formula1>AccountSelect</formula1>
    </dataValidation>
    <dataValidation allowBlank="1" showInputMessage="1" showErrorMessage="1" errorTitle="Invalid Supplier" error="Add the supplier name to the Supplier sheet before selecting the appropriate entry." sqref="B5:B300" xr:uid="{00000000-0002-0000-0A00-000003000000}"/>
    <dataValidation type="list" allowBlank="1" showInputMessage="1" showErrorMessage="1" errorTitle="Invalid Data" error="Select a valid item from the list box." sqref="H5:H300" xr:uid="{00000000-0002-0000-0A00-000004000000}">
      <formula1>BankCode</formula1>
    </dataValidation>
  </dataValidations>
  <pageMargins left="0.59055118110236227" right="0.59055118110236227" top="0.59055118110236227" bottom="0.59055118110236227" header="0.39370078740157483" footer="0.39370078740157483"/>
  <pageSetup paperSize="9" scale="68" fitToHeight="0" orientation="landscape" r:id="rId1"/>
  <headerFooter alignWithMargins="0">
    <oddFooter>Page &amp;P of &amp;N</oddFooter>
  </headerFooter>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P54"/>
  <sheetViews>
    <sheetView zoomScale="110" zoomScaleNormal="110" workbookViewId="0">
      <pane xSplit="2" ySplit="4" topLeftCell="C5" activePane="bottomRight" state="frozen"/>
      <selection pane="topRight" activeCell="C1" sqref="C1"/>
      <selection pane="bottomLeft" activeCell="A7" sqref="A7"/>
      <selection pane="bottomRight" activeCell="A10" sqref="A10"/>
    </sheetView>
  </sheetViews>
  <sheetFormatPr defaultColWidth="9.140625" defaultRowHeight="15.95" customHeight="1" x14ac:dyDescent="0.3"/>
  <cols>
    <col min="1" max="1" width="8.5703125" style="277" customWidth="1"/>
    <col min="2" max="2" width="39.5703125" style="4" customWidth="1"/>
    <col min="3" max="5" width="14.5703125" style="34" customWidth="1"/>
    <col min="6" max="14" width="14.5703125" style="4" customWidth="1"/>
    <col min="15" max="16" width="14.5703125" style="3" customWidth="1"/>
    <col min="17" max="16384" width="9.140625" style="4"/>
  </cols>
  <sheetData>
    <row r="1" spans="1:16" ht="15.95" customHeight="1" x14ac:dyDescent="0.3">
      <c r="B1" s="274" t="str">
        <f>IF(ISBLANK(Setup!$C$5),"Example Limited",Setup!$C$5)</f>
        <v>Nasia Consult Co. Limited</v>
      </c>
      <c r="K1" s="5"/>
    </row>
    <row r="2" spans="1:16" ht="15.95" customHeight="1" x14ac:dyDescent="0.3">
      <c r="B2" s="28" t="s">
        <v>273</v>
      </c>
      <c r="P2" s="182">
        <f ca="1">DATE(YEAR($C$4)-1,MONTH($C$4),1)</f>
        <v>44927</v>
      </c>
    </row>
    <row r="3" spans="1:16" ht="15.95" customHeight="1" x14ac:dyDescent="0.3">
      <c r="B3" s="7" t="s">
        <v>244</v>
      </c>
      <c r="P3" s="182">
        <f ca="1">DATE(YEAR($P$2)+1,MONTH($P$2),0)</f>
        <v>45291</v>
      </c>
    </row>
    <row r="4" spans="1:16" s="187" customFormat="1" ht="18" customHeight="1" x14ac:dyDescent="0.25">
      <c r="A4" s="183" t="s">
        <v>251</v>
      </c>
      <c r="B4" s="183" t="s">
        <v>7</v>
      </c>
      <c r="C4" s="184">
        <f ca="1">DATE(YEAR(Setup!$D$18),MONTH(Setup!$D$18)+1,0)</f>
        <v>45322</v>
      </c>
      <c r="D4" s="185">
        <f t="shared" ref="D4:M4" ca="1" si="0">DATE(YEAR(C4),MONTH(C4)+2,0)</f>
        <v>45351</v>
      </c>
      <c r="E4" s="185">
        <f t="shared" ca="1" si="0"/>
        <v>45382</v>
      </c>
      <c r="F4" s="185">
        <f t="shared" ca="1" si="0"/>
        <v>45412</v>
      </c>
      <c r="G4" s="185">
        <f t="shared" ca="1" si="0"/>
        <v>45443</v>
      </c>
      <c r="H4" s="185">
        <f t="shared" ca="1" si="0"/>
        <v>45473</v>
      </c>
      <c r="I4" s="185">
        <f t="shared" ca="1" si="0"/>
        <v>45504</v>
      </c>
      <c r="J4" s="185">
        <f t="shared" ca="1" si="0"/>
        <v>45535</v>
      </c>
      <c r="K4" s="185">
        <f t="shared" ca="1" si="0"/>
        <v>45565</v>
      </c>
      <c r="L4" s="185">
        <f t="shared" ca="1" si="0"/>
        <v>45596</v>
      </c>
      <c r="M4" s="185">
        <f t="shared" ca="1" si="0"/>
        <v>45626</v>
      </c>
      <c r="N4" s="185">
        <f ca="1">DATE(YEAR(M4),MONTH(M4)+2,0)</f>
        <v>45657</v>
      </c>
      <c r="O4" s="186" t="str">
        <f ca="1">"Total "&amp;YEAR($N4)</f>
        <v>Total 2024</v>
      </c>
      <c r="P4" s="186" t="str">
        <f ca="1">"Total "&amp;YEAR($N4)-1</f>
        <v>Total 2023</v>
      </c>
    </row>
    <row r="5" spans="1:16" ht="15.95" customHeight="1" x14ac:dyDescent="0.3">
      <c r="A5" s="277" t="s">
        <v>211</v>
      </c>
      <c r="B5" s="12" t="str">
        <f ca="1">IF(RIGHT($A5,1)="G",IF(ISNA(VLOOKUP(LEFT($A5,LEN($A5)-1),GroupAll,COLUMN(Groups!$B$4),0)),"Group Not Found",VLOOKUP(LEFT($A5,LEN($A5)-1),GroupAll,COLUMN(Groups!$B$4),0)),IF(ISNA(VLOOKUP($A5,AccountAll,COLUMN(TB!$B$4),0)),"Account Not Found",VLOOKUP($A5,AccountAll,COLUMN(TB!$B$4),0)))</f>
        <v>Service Charge</v>
      </c>
      <c r="C5" s="34" cm="1">
        <f t="array" aca="1" ref="C5" ca="1">IF(RIGHT($A5,1)="G",SUMIFS(IncExcl,IncDocDate,"&gt;="&amp;DATE(YEAR(C$4),MONTH(C$4),1),IncDocDate,"&lt;="&amp;C$4,IncAccount,LEFT($A5,5)&amp;"*")-SUMIFS(ExpExcl,ExpDocDate,"&gt;="&amp;DATE(YEAR(C$4),MONTH(C$4),1),ExpDocDate,"&lt;="&amp;C$4,ExpAccount,LEFT($A5,5)&amp;"*"),SUMIFS(IncExcl,IncDocDate,"&gt;="&amp;DATE(YEAR(C$4),MONTH(C$4),1),IncDocDate,"&lt;="&amp;C$4,IncAccount,$A5)-SUMIFS(ExpExcl,ExpDocDate,"&gt;="&amp;DATE(YEAR(C$4),MONTH(C$4),1),ExpDocDate,"&lt;="&amp;C$4,ExpAccount,$A5))</f>
        <v>67377532.203389823</v>
      </c>
      <c r="D5" s="34" cm="1">
        <f t="array" aca="1" ref="D5" ca="1">IF(RIGHT($A5,1)="G",SUMIFS(IncExcl,IncDocDate,"&gt;="&amp;DATE(YEAR(D$4),MONTH(D$4),1),IncDocDate,"&lt;="&amp;D$4,IncAccount,LEFT($A5,5)&amp;"*")-SUMIFS(ExpExcl,ExpDocDate,"&gt;="&amp;DATE(YEAR(D$4),MONTH(D$4),1),ExpDocDate,"&lt;="&amp;D$4,ExpAccount,LEFT($A5,5)&amp;"*"),SUMIFS(IncExcl,IncDocDate,"&gt;="&amp;DATE(YEAR(D$4),MONTH(D$4),1),IncDocDate,"&lt;="&amp;D$4,IncAccount,$A5)-SUMIFS(ExpExcl,ExpDocDate,"&gt;="&amp;DATE(YEAR(D$4),MONTH(D$4),1),ExpDocDate,"&lt;="&amp;D$4,ExpAccount,$A5))</f>
        <v>5218440</v>
      </c>
      <c r="E5" s="34" cm="1">
        <f t="array" aca="1" ref="E5" ca="1">IF(RIGHT($A5,1)="G",SUMIFS(IncExcl,IncDocDate,"&gt;="&amp;DATE(YEAR(E$4),MONTH(E$4),1),IncDocDate,"&lt;="&amp;E$4,IncAccount,LEFT($A5,5)&amp;"*")-SUMIFS(ExpExcl,ExpDocDate,"&gt;="&amp;DATE(YEAR(E$4),MONTH(E$4),1),ExpDocDate,"&lt;="&amp;E$4,ExpAccount,LEFT($A5,5)&amp;"*"),SUMIFS(IncExcl,IncDocDate,"&gt;="&amp;DATE(YEAR(E$4),MONTH(E$4),1),IncDocDate,"&lt;="&amp;E$4,IncAccount,$A5)-SUMIFS(ExpExcl,ExpDocDate,"&gt;="&amp;DATE(YEAR(E$4),MONTH(E$4),1),ExpDocDate,"&lt;="&amp;E$4,ExpAccount,$A5))</f>
        <v>0</v>
      </c>
      <c r="F5" s="34" cm="1">
        <f t="array" aca="1" ref="F5" ca="1">IF(RIGHT($A5,1)="G",SUMIFS(IncExcl,IncDocDate,"&gt;="&amp;DATE(YEAR(F$4),MONTH(F$4),1),IncDocDate,"&lt;="&amp;F$4,IncAccount,LEFT($A5,5)&amp;"*")-SUMIFS(ExpExcl,ExpDocDate,"&gt;="&amp;DATE(YEAR(F$4),MONTH(F$4),1),ExpDocDate,"&lt;="&amp;F$4,ExpAccount,LEFT($A5,5)&amp;"*"),SUMIFS(IncExcl,IncDocDate,"&gt;="&amp;DATE(YEAR(F$4),MONTH(F$4),1),IncDocDate,"&lt;="&amp;F$4,IncAccount,$A5)-SUMIFS(ExpExcl,ExpDocDate,"&gt;="&amp;DATE(YEAR(F$4),MONTH(F$4),1),ExpDocDate,"&lt;="&amp;F$4,ExpAccount,$A5))</f>
        <v>0</v>
      </c>
      <c r="G5" s="34" cm="1">
        <f t="array" aca="1" ref="G5" ca="1">IF(RIGHT($A5,1)="G",SUMIFS(IncExcl,IncDocDate,"&gt;="&amp;DATE(YEAR(G$4),MONTH(G$4),1),IncDocDate,"&lt;="&amp;G$4,IncAccount,LEFT($A5,5)&amp;"*")-SUMIFS(ExpExcl,ExpDocDate,"&gt;="&amp;DATE(YEAR(G$4),MONTH(G$4),1),ExpDocDate,"&lt;="&amp;G$4,ExpAccount,LEFT($A5,5)&amp;"*"),SUMIFS(IncExcl,IncDocDate,"&gt;="&amp;DATE(YEAR(G$4),MONTH(G$4),1),IncDocDate,"&lt;="&amp;G$4,IncAccount,$A5)-SUMIFS(ExpExcl,ExpDocDate,"&gt;="&amp;DATE(YEAR(G$4),MONTH(G$4),1),ExpDocDate,"&lt;="&amp;G$4,ExpAccount,$A5))</f>
        <v>0</v>
      </c>
      <c r="H5" s="34" cm="1">
        <f t="array" aca="1" ref="H5" ca="1">IF(RIGHT($A5,1)="G",SUMIFS(IncExcl,IncDocDate,"&gt;="&amp;DATE(YEAR(H$4),MONTH(H$4),1),IncDocDate,"&lt;="&amp;H$4,IncAccount,LEFT($A5,5)&amp;"*")-SUMIFS(ExpExcl,ExpDocDate,"&gt;="&amp;DATE(YEAR(H$4),MONTH(H$4),1),ExpDocDate,"&lt;="&amp;H$4,ExpAccount,LEFT($A5,5)&amp;"*"),SUMIFS(IncExcl,IncDocDate,"&gt;="&amp;DATE(YEAR(H$4),MONTH(H$4),1),IncDocDate,"&lt;="&amp;H$4,IncAccount,$A5)-SUMIFS(ExpExcl,ExpDocDate,"&gt;="&amp;DATE(YEAR(H$4),MONTH(H$4),1),ExpDocDate,"&lt;="&amp;H$4,ExpAccount,$A5))</f>
        <v>0</v>
      </c>
      <c r="I5" s="34" cm="1">
        <f t="array" aca="1" ref="I5" ca="1">IF(RIGHT($A5,1)="G",SUMIFS(IncExcl,IncDocDate,"&gt;="&amp;DATE(YEAR(I$4),MONTH(I$4),1),IncDocDate,"&lt;="&amp;I$4,IncAccount,LEFT($A5,5)&amp;"*")-SUMIFS(ExpExcl,ExpDocDate,"&gt;="&amp;DATE(YEAR(I$4),MONTH(I$4),1),ExpDocDate,"&lt;="&amp;I$4,ExpAccount,LEFT($A5,5)&amp;"*"),SUMIFS(IncExcl,IncDocDate,"&gt;="&amp;DATE(YEAR(I$4),MONTH(I$4),1),IncDocDate,"&lt;="&amp;I$4,IncAccount,$A5)-SUMIFS(ExpExcl,ExpDocDate,"&gt;="&amp;DATE(YEAR(I$4),MONTH(I$4),1),ExpDocDate,"&lt;="&amp;I$4,ExpAccount,$A5))</f>
        <v>0</v>
      </c>
      <c r="J5" s="34" cm="1">
        <f t="array" aca="1" ref="J5" ca="1">IF(RIGHT($A5,1)="G",SUMIFS(IncExcl,IncDocDate,"&gt;="&amp;DATE(YEAR(J$4),MONTH(J$4),1),IncDocDate,"&lt;="&amp;J$4,IncAccount,LEFT($A5,5)&amp;"*")-SUMIFS(ExpExcl,ExpDocDate,"&gt;="&amp;DATE(YEAR(J$4),MONTH(J$4),1),ExpDocDate,"&lt;="&amp;J$4,ExpAccount,LEFT($A5,5)&amp;"*"),SUMIFS(IncExcl,IncDocDate,"&gt;="&amp;DATE(YEAR(J$4),MONTH(J$4),1),IncDocDate,"&lt;="&amp;J$4,IncAccount,$A5)-SUMIFS(ExpExcl,ExpDocDate,"&gt;="&amp;DATE(YEAR(J$4),MONTH(J$4),1),ExpDocDate,"&lt;="&amp;J$4,ExpAccount,$A5))</f>
        <v>0</v>
      </c>
      <c r="K5" s="34" cm="1">
        <f t="array" aca="1" ref="K5" ca="1">IF(RIGHT($A5,1)="G",SUMIFS(IncExcl,IncDocDate,"&gt;="&amp;DATE(YEAR(K$4),MONTH(K$4),1),IncDocDate,"&lt;="&amp;K$4,IncAccount,LEFT($A5,5)&amp;"*")-SUMIFS(ExpExcl,ExpDocDate,"&gt;="&amp;DATE(YEAR(K$4),MONTH(K$4),1),ExpDocDate,"&lt;="&amp;K$4,ExpAccount,LEFT($A5,5)&amp;"*"),SUMIFS(IncExcl,IncDocDate,"&gt;="&amp;DATE(YEAR(K$4),MONTH(K$4),1),IncDocDate,"&lt;="&amp;K$4,IncAccount,$A5)-SUMIFS(ExpExcl,ExpDocDate,"&gt;="&amp;DATE(YEAR(K$4),MONTH(K$4),1),ExpDocDate,"&lt;="&amp;K$4,ExpAccount,$A5))</f>
        <v>0</v>
      </c>
      <c r="L5" s="34" cm="1">
        <f t="array" aca="1" ref="L5" ca="1">IF(RIGHT($A5,1)="G",SUMIFS(IncExcl,IncDocDate,"&gt;="&amp;DATE(YEAR(L$4),MONTH(L$4),1),IncDocDate,"&lt;="&amp;L$4,IncAccount,LEFT($A5,5)&amp;"*")-SUMIFS(ExpExcl,ExpDocDate,"&gt;="&amp;DATE(YEAR(L$4),MONTH(L$4),1),ExpDocDate,"&lt;="&amp;L$4,ExpAccount,LEFT($A5,5)&amp;"*"),SUMIFS(IncExcl,IncDocDate,"&gt;="&amp;DATE(YEAR(L$4),MONTH(L$4),1),IncDocDate,"&lt;="&amp;L$4,IncAccount,$A5)-SUMIFS(ExpExcl,ExpDocDate,"&gt;="&amp;DATE(YEAR(L$4),MONTH(L$4),1),ExpDocDate,"&lt;="&amp;L$4,ExpAccount,$A5))</f>
        <v>0</v>
      </c>
      <c r="M5" s="34" cm="1">
        <f t="array" aca="1" ref="M5" ca="1">IF(RIGHT($A5,1)="G",SUMIFS(IncExcl,IncDocDate,"&gt;="&amp;DATE(YEAR(M$4),MONTH(M$4),1),IncDocDate,"&lt;="&amp;M$4,IncAccount,LEFT($A5,5)&amp;"*")-SUMIFS(ExpExcl,ExpDocDate,"&gt;="&amp;DATE(YEAR(M$4),MONTH(M$4),1),ExpDocDate,"&lt;="&amp;M$4,ExpAccount,LEFT($A5,5)&amp;"*"),SUMIFS(IncExcl,IncDocDate,"&gt;="&amp;DATE(YEAR(M$4),MONTH(M$4),1),IncDocDate,"&lt;="&amp;M$4,IncAccount,$A5)-SUMIFS(ExpExcl,ExpDocDate,"&gt;="&amp;DATE(YEAR(M$4),MONTH(M$4),1),ExpDocDate,"&lt;="&amp;M$4,ExpAccount,$A5))</f>
        <v>0</v>
      </c>
      <c r="N5" s="34" cm="1">
        <f t="array" aca="1" ref="N5" ca="1">IF(RIGHT($A5,1)="G",SUMIFS(IncExcl,IncDocDate,"&gt;="&amp;DATE(YEAR(N$4),MONTH(N$4),1),IncDocDate,"&lt;="&amp;N$4,IncAccount,LEFT($A5,5)&amp;"*")-SUMIFS(ExpExcl,ExpDocDate,"&gt;="&amp;DATE(YEAR(N$4),MONTH(N$4),1),ExpDocDate,"&lt;="&amp;N$4,ExpAccount,LEFT($A5,5)&amp;"*"),SUMIFS(IncExcl,IncDocDate,"&gt;="&amp;DATE(YEAR(N$4),MONTH(N$4),1),IncDocDate,"&lt;="&amp;N$4,IncAccount,$A5)-SUMIFS(ExpExcl,ExpDocDate,"&gt;="&amp;DATE(YEAR(N$4),MONTH(N$4),1),ExpDocDate,"&lt;="&amp;N$4,ExpAccount,$A5))</f>
        <v>0</v>
      </c>
      <c r="O5" s="188">
        <f ca="1">SUM(C5:N5)</f>
        <v>72595972.203389823</v>
      </c>
      <c r="P5" s="188" cm="1">
        <f t="array" aca="1" ref="P5" ca="1">IF(RIGHT($A5,1)="G",SUMIFS(IncExcl,IncDocDate,"&gt;="&amp;$P$2,IncDocDate,"&lt;="&amp;$P$3,IncAccount,LEFT($A5,5)&amp;"*")-SUMIFS(ExpExcl,ExpDocDate,"&gt;="&amp;$P$2,ExpDocDate,"&lt;="&amp;$P$3,ExpAccount,LEFT($A5,5)&amp;"*"),SUMIFS(IncExcl,IncDocDate,"&gt;="&amp;$P$2,IncDocDate,"&lt;="&amp;$P$3,IncAccount,$A5)-SUMIFS(ExpExcl,ExpDocDate,"&gt;="&amp;$P$2,ExpDocDate,"&lt;="&amp;$P$3,ExpAccount,$A5))</f>
        <v>2368277.2881355933</v>
      </c>
    </row>
    <row r="6" spans="1:16" ht="15.95" customHeight="1" x14ac:dyDescent="0.3">
      <c r="A6" s="277" t="s">
        <v>210</v>
      </c>
      <c r="B6" s="12" t="str">
        <f ca="1">IF(RIGHT($A6,1)="G",IF(ISNA(VLOOKUP(LEFT($A6,LEN($A6)-1),GroupAll,COLUMN(Groups!$B$4),0)),"Group Not Found",VLOOKUP(LEFT($A6,LEN($A6)-1),GroupAll,COLUMN(Groups!$B$4),0)),IF(ISNA(VLOOKUP($A6,AccountAll,COLUMN(TB!$B$4),0)),"Account Not Found",VLOOKUP($A6,AccountAll,COLUMN(TB!$B$4),0)))</f>
        <v>Valuation</v>
      </c>
      <c r="C6" s="34" cm="1">
        <f t="array" aca="1" ref="C6" ca="1">IF(RIGHT($A6,1)="G",SUMIFS(IncExcl,IncDocDate,"&gt;="&amp;DATE(YEAR(C$4),MONTH(C$4),1),IncDocDate,"&lt;="&amp;C$4,IncAccount,LEFT($A6,5)&amp;"*")-SUMIFS(ExpExcl,ExpDocDate,"&gt;="&amp;DATE(YEAR(C$4),MONTH(C$4),1),ExpDocDate,"&lt;="&amp;C$4,ExpAccount,LEFT($A6,5)&amp;"*"),SUMIFS(IncExcl,IncDocDate,"&gt;="&amp;DATE(YEAR(C$4),MONTH(C$4),1),IncDocDate,"&lt;="&amp;C$4,IncAccount,$A6)-SUMIFS(ExpExcl,ExpDocDate,"&gt;="&amp;DATE(YEAR(C$4),MONTH(C$4),1),ExpDocDate,"&lt;="&amp;C$4,ExpAccount,$A6))</f>
        <v>593220.33898305078</v>
      </c>
      <c r="D6" s="34" cm="1">
        <f t="array" aca="1" ref="D6" ca="1">IF(RIGHT($A6,1)="G",SUMIFS(IncExcl,IncDocDate,"&gt;="&amp;DATE(YEAR(D$4),MONTH(D$4),1),IncDocDate,"&lt;="&amp;D$4,IncAccount,LEFT($A6,5)&amp;"*")-SUMIFS(ExpExcl,ExpDocDate,"&gt;="&amp;DATE(YEAR(D$4),MONTH(D$4),1),ExpDocDate,"&lt;="&amp;D$4,ExpAccount,LEFT($A6,5)&amp;"*"),SUMIFS(IncExcl,IncDocDate,"&gt;="&amp;DATE(YEAR(D$4),MONTH(D$4),1),IncDocDate,"&lt;="&amp;D$4,IncAccount,$A6)-SUMIFS(ExpExcl,ExpDocDate,"&gt;="&amp;DATE(YEAR(D$4),MONTH(D$4),1),ExpDocDate,"&lt;="&amp;D$4,ExpAccount,$A6))</f>
        <v>1500000</v>
      </c>
      <c r="E6" s="34" cm="1">
        <f t="array" aca="1" ref="E6" ca="1">IF(RIGHT($A6,1)="G",SUMIFS(IncExcl,IncDocDate,"&gt;="&amp;DATE(YEAR(E$4),MONTH(E$4),1),IncDocDate,"&lt;="&amp;E$4,IncAccount,LEFT($A6,5)&amp;"*")-SUMIFS(ExpExcl,ExpDocDate,"&gt;="&amp;DATE(YEAR(E$4),MONTH(E$4),1),ExpDocDate,"&lt;="&amp;E$4,ExpAccount,LEFT($A6,5)&amp;"*"),SUMIFS(IncExcl,IncDocDate,"&gt;="&amp;DATE(YEAR(E$4),MONTH(E$4),1),IncDocDate,"&lt;="&amp;E$4,IncAccount,$A6)-SUMIFS(ExpExcl,ExpDocDate,"&gt;="&amp;DATE(YEAR(E$4),MONTH(E$4),1),ExpDocDate,"&lt;="&amp;E$4,ExpAccount,$A6))</f>
        <v>0</v>
      </c>
      <c r="F6" s="34" cm="1">
        <f t="array" aca="1" ref="F6" ca="1">IF(RIGHT($A6,1)="G",SUMIFS(IncExcl,IncDocDate,"&gt;="&amp;DATE(YEAR(F$4),MONTH(F$4),1),IncDocDate,"&lt;="&amp;F$4,IncAccount,LEFT($A6,5)&amp;"*")-SUMIFS(ExpExcl,ExpDocDate,"&gt;="&amp;DATE(YEAR(F$4),MONTH(F$4),1),ExpDocDate,"&lt;="&amp;F$4,ExpAccount,LEFT($A6,5)&amp;"*"),SUMIFS(IncExcl,IncDocDate,"&gt;="&amp;DATE(YEAR(F$4),MONTH(F$4),1),IncDocDate,"&lt;="&amp;F$4,IncAccount,$A6)-SUMIFS(ExpExcl,ExpDocDate,"&gt;="&amp;DATE(YEAR(F$4),MONTH(F$4),1),ExpDocDate,"&lt;="&amp;F$4,ExpAccount,$A6))</f>
        <v>0</v>
      </c>
      <c r="G6" s="34" cm="1">
        <f t="array" aca="1" ref="G6" ca="1">IF(RIGHT($A6,1)="G",SUMIFS(IncExcl,IncDocDate,"&gt;="&amp;DATE(YEAR(G$4),MONTH(G$4),1),IncDocDate,"&lt;="&amp;G$4,IncAccount,LEFT($A6,5)&amp;"*")-SUMIFS(ExpExcl,ExpDocDate,"&gt;="&amp;DATE(YEAR(G$4),MONTH(G$4),1),ExpDocDate,"&lt;="&amp;G$4,ExpAccount,LEFT($A6,5)&amp;"*"),SUMIFS(IncExcl,IncDocDate,"&gt;="&amp;DATE(YEAR(G$4),MONTH(G$4),1),IncDocDate,"&lt;="&amp;G$4,IncAccount,$A6)-SUMIFS(ExpExcl,ExpDocDate,"&gt;="&amp;DATE(YEAR(G$4),MONTH(G$4),1),ExpDocDate,"&lt;="&amp;G$4,ExpAccount,$A6))</f>
        <v>0</v>
      </c>
      <c r="H6" s="34" cm="1">
        <f t="array" aca="1" ref="H6" ca="1">IF(RIGHT($A6,1)="G",SUMIFS(IncExcl,IncDocDate,"&gt;="&amp;DATE(YEAR(H$4),MONTH(H$4),1),IncDocDate,"&lt;="&amp;H$4,IncAccount,LEFT($A6,5)&amp;"*")-SUMIFS(ExpExcl,ExpDocDate,"&gt;="&amp;DATE(YEAR(H$4),MONTH(H$4),1),ExpDocDate,"&lt;="&amp;H$4,ExpAccount,LEFT($A6,5)&amp;"*"),SUMIFS(IncExcl,IncDocDate,"&gt;="&amp;DATE(YEAR(H$4),MONTH(H$4),1),IncDocDate,"&lt;="&amp;H$4,IncAccount,$A6)-SUMIFS(ExpExcl,ExpDocDate,"&gt;="&amp;DATE(YEAR(H$4),MONTH(H$4),1),ExpDocDate,"&lt;="&amp;H$4,ExpAccount,$A6))</f>
        <v>0</v>
      </c>
      <c r="I6" s="34" cm="1">
        <f t="array" aca="1" ref="I6" ca="1">IF(RIGHT($A6,1)="G",SUMIFS(IncExcl,IncDocDate,"&gt;="&amp;DATE(YEAR(I$4),MONTH(I$4),1),IncDocDate,"&lt;="&amp;I$4,IncAccount,LEFT($A6,5)&amp;"*")-SUMIFS(ExpExcl,ExpDocDate,"&gt;="&amp;DATE(YEAR(I$4),MONTH(I$4),1),ExpDocDate,"&lt;="&amp;I$4,ExpAccount,LEFT($A6,5)&amp;"*"),SUMIFS(IncExcl,IncDocDate,"&gt;="&amp;DATE(YEAR(I$4),MONTH(I$4),1),IncDocDate,"&lt;="&amp;I$4,IncAccount,$A6)-SUMIFS(ExpExcl,ExpDocDate,"&gt;="&amp;DATE(YEAR(I$4),MONTH(I$4),1),ExpDocDate,"&lt;="&amp;I$4,ExpAccount,$A6))</f>
        <v>0</v>
      </c>
      <c r="J6" s="34" cm="1">
        <f t="array" aca="1" ref="J6" ca="1">IF(RIGHT($A6,1)="G",SUMIFS(IncExcl,IncDocDate,"&gt;="&amp;DATE(YEAR(J$4),MONTH(J$4),1),IncDocDate,"&lt;="&amp;J$4,IncAccount,LEFT($A6,5)&amp;"*")-SUMIFS(ExpExcl,ExpDocDate,"&gt;="&amp;DATE(YEAR(J$4),MONTH(J$4),1),ExpDocDate,"&lt;="&amp;J$4,ExpAccount,LEFT($A6,5)&amp;"*"),SUMIFS(IncExcl,IncDocDate,"&gt;="&amp;DATE(YEAR(J$4),MONTH(J$4),1),IncDocDate,"&lt;="&amp;J$4,IncAccount,$A6)-SUMIFS(ExpExcl,ExpDocDate,"&gt;="&amp;DATE(YEAR(J$4),MONTH(J$4),1),ExpDocDate,"&lt;="&amp;J$4,ExpAccount,$A6))</f>
        <v>0</v>
      </c>
      <c r="K6" s="34" cm="1">
        <f t="array" aca="1" ref="K6" ca="1">IF(RIGHT($A6,1)="G",SUMIFS(IncExcl,IncDocDate,"&gt;="&amp;DATE(YEAR(K$4),MONTH(K$4),1),IncDocDate,"&lt;="&amp;K$4,IncAccount,LEFT($A6,5)&amp;"*")-SUMIFS(ExpExcl,ExpDocDate,"&gt;="&amp;DATE(YEAR(K$4),MONTH(K$4),1),ExpDocDate,"&lt;="&amp;K$4,ExpAccount,LEFT($A6,5)&amp;"*"),SUMIFS(IncExcl,IncDocDate,"&gt;="&amp;DATE(YEAR(K$4),MONTH(K$4),1),IncDocDate,"&lt;="&amp;K$4,IncAccount,$A6)-SUMIFS(ExpExcl,ExpDocDate,"&gt;="&amp;DATE(YEAR(K$4),MONTH(K$4),1),ExpDocDate,"&lt;="&amp;K$4,ExpAccount,$A6))</f>
        <v>0</v>
      </c>
      <c r="L6" s="34" cm="1">
        <f t="array" aca="1" ref="L6" ca="1">IF(RIGHT($A6,1)="G",SUMIFS(IncExcl,IncDocDate,"&gt;="&amp;DATE(YEAR(L$4),MONTH(L$4),1),IncDocDate,"&lt;="&amp;L$4,IncAccount,LEFT($A6,5)&amp;"*")-SUMIFS(ExpExcl,ExpDocDate,"&gt;="&amp;DATE(YEAR(L$4),MONTH(L$4),1),ExpDocDate,"&lt;="&amp;L$4,ExpAccount,LEFT($A6,5)&amp;"*"),SUMIFS(IncExcl,IncDocDate,"&gt;="&amp;DATE(YEAR(L$4),MONTH(L$4),1),IncDocDate,"&lt;="&amp;L$4,IncAccount,$A6)-SUMIFS(ExpExcl,ExpDocDate,"&gt;="&amp;DATE(YEAR(L$4),MONTH(L$4),1),ExpDocDate,"&lt;="&amp;L$4,ExpAccount,$A6))</f>
        <v>0</v>
      </c>
      <c r="M6" s="34" cm="1">
        <f t="array" aca="1" ref="M6" ca="1">IF(RIGHT($A6,1)="G",SUMIFS(IncExcl,IncDocDate,"&gt;="&amp;DATE(YEAR(M$4),MONTH(M$4),1),IncDocDate,"&lt;="&amp;M$4,IncAccount,LEFT($A6,5)&amp;"*")-SUMIFS(ExpExcl,ExpDocDate,"&gt;="&amp;DATE(YEAR(M$4),MONTH(M$4),1),ExpDocDate,"&lt;="&amp;M$4,ExpAccount,LEFT($A6,5)&amp;"*"),SUMIFS(IncExcl,IncDocDate,"&gt;="&amp;DATE(YEAR(M$4),MONTH(M$4),1),IncDocDate,"&lt;="&amp;M$4,IncAccount,$A6)-SUMIFS(ExpExcl,ExpDocDate,"&gt;="&amp;DATE(YEAR(M$4),MONTH(M$4),1),ExpDocDate,"&lt;="&amp;M$4,ExpAccount,$A6))</f>
        <v>0</v>
      </c>
      <c r="N6" s="34" cm="1">
        <f t="array" aca="1" ref="N6" ca="1">IF(RIGHT($A6,1)="G",SUMIFS(IncExcl,IncDocDate,"&gt;="&amp;DATE(YEAR(N$4),MONTH(N$4),1),IncDocDate,"&lt;="&amp;N$4,IncAccount,LEFT($A6,5)&amp;"*")-SUMIFS(ExpExcl,ExpDocDate,"&gt;="&amp;DATE(YEAR(N$4),MONTH(N$4),1),ExpDocDate,"&lt;="&amp;N$4,ExpAccount,LEFT($A6,5)&amp;"*"),SUMIFS(IncExcl,IncDocDate,"&gt;="&amp;DATE(YEAR(N$4),MONTH(N$4),1),IncDocDate,"&lt;="&amp;N$4,IncAccount,$A6)-SUMIFS(ExpExcl,ExpDocDate,"&gt;="&amp;DATE(YEAR(N$4),MONTH(N$4),1),ExpDocDate,"&lt;="&amp;N$4,ExpAccount,$A6))</f>
        <v>0</v>
      </c>
      <c r="O6" s="188">
        <f t="shared" ref="O6:O9" ca="1" si="1">SUM(C6:N6)</f>
        <v>2093220.3389830508</v>
      </c>
      <c r="P6" s="188" cm="1">
        <f t="array" aca="1" ref="P6" ca="1">IF(RIGHT($A6,1)="G",SUMIFS(IncExcl,IncDocDate,"&gt;="&amp;$P$2,IncDocDate,"&lt;="&amp;$P$3,IncAccount,LEFT($A6,5)&amp;"*")-SUMIFS(ExpExcl,ExpDocDate,"&gt;="&amp;$P$2,ExpDocDate,"&lt;="&amp;$P$3,ExpAccount,LEFT($A6,5)&amp;"*"),SUMIFS(IncExcl,IncDocDate,"&gt;="&amp;$P$2,IncDocDate,"&lt;="&amp;$P$3,IncAccount,$A6)-SUMIFS(ExpExcl,ExpDocDate,"&gt;="&amp;$P$2,ExpDocDate,"&lt;="&amp;$P$3,ExpAccount,$A6))</f>
        <v>14374576.271186441</v>
      </c>
    </row>
    <row r="7" spans="1:16" ht="15.95" customHeight="1" x14ac:dyDescent="0.3">
      <c r="A7" s="277" t="s">
        <v>212</v>
      </c>
      <c r="B7" s="12" t="str">
        <f ca="1">IF(RIGHT($A7,1)="G",IF(ISNA(VLOOKUP(LEFT($A7,LEN($A7)-1),GroupAll,COLUMN(Groups!$B$4),0)),"Group Not Found",VLOOKUP(LEFT($A7,LEN($A7)-1),GroupAll,COLUMN(Groups!$B$4),0)),IF(ISNA(VLOOKUP($A7,AccountAll,COLUMN(TB!$B$4),0)),"Account Not Found",VLOOKUP($A7,AccountAll,COLUMN(TB!$B$4),0)))</f>
        <v>Management Fees</v>
      </c>
      <c r="C7" s="34" cm="1">
        <f t="array" aca="1" ref="C7" ca="1">IF(RIGHT($A7,1)="G",SUMIFS(IncExcl,IncDocDate,"&gt;="&amp;DATE(YEAR(C$4),MONTH(C$4),1),IncDocDate,"&lt;="&amp;C$4,IncAccount,LEFT($A7,5)&amp;"*")-SUMIFS(ExpExcl,ExpDocDate,"&gt;="&amp;DATE(YEAR(C$4),MONTH(C$4),1),ExpDocDate,"&lt;="&amp;C$4,ExpAccount,LEFT($A7,5)&amp;"*"),SUMIFS(IncExcl,IncDocDate,"&gt;="&amp;DATE(YEAR(C$4),MONTH(C$4),1),IncDocDate,"&lt;="&amp;C$4,IncAccount,$A7)-SUMIFS(ExpExcl,ExpDocDate,"&gt;="&amp;DATE(YEAR(C$4),MONTH(C$4),1),ExpDocDate,"&lt;="&amp;C$4,ExpAccount,$A7))</f>
        <v>5753540.6545454543</v>
      </c>
      <c r="D7" s="34" cm="1">
        <f t="array" aca="1" ref="D7" ca="1">IF(RIGHT($A7,1)="G",SUMIFS(IncExcl,IncDocDate,"&gt;="&amp;DATE(YEAR(D$4),MONTH(D$4),1),IncDocDate,"&lt;="&amp;D$4,IncAccount,LEFT($A7,5)&amp;"*")-SUMIFS(ExpExcl,ExpDocDate,"&gt;="&amp;DATE(YEAR(D$4),MONTH(D$4),1),ExpDocDate,"&lt;="&amp;D$4,ExpAccount,LEFT($A7,5)&amp;"*"),SUMIFS(IncExcl,IncDocDate,"&gt;="&amp;DATE(YEAR(D$4),MONTH(D$4),1),IncDocDate,"&lt;="&amp;D$4,IncAccount,$A7)-SUMIFS(ExpExcl,ExpDocDate,"&gt;="&amp;DATE(YEAR(D$4),MONTH(D$4),1),ExpDocDate,"&lt;="&amp;D$4,ExpAccount,$A7))</f>
        <v>3499870.4237288134</v>
      </c>
      <c r="E7" s="34" cm="1">
        <f t="array" aca="1" ref="E7" ca="1">IF(RIGHT($A7,1)="G",SUMIFS(IncExcl,IncDocDate,"&gt;="&amp;DATE(YEAR(E$4),MONTH(E$4),1),IncDocDate,"&lt;="&amp;E$4,IncAccount,LEFT($A7,5)&amp;"*")-SUMIFS(ExpExcl,ExpDocDate,"&gt;="&amp;DATE(YEAR(E$4),MONTH(E$4),1),ExpDocDate,"&lt;="&amp;E$4,ExpAccount,LEFT($A7,5)&amp;"*"),SUMIFS(IncExcl,IncDocDate,"&gt;="&amp;DATE(YEAR(E$4),MONTH(E$4),1),IncDocDate,"&lt;="&amp;E$4,IncAccount,$A7)-SUMIFS(ExpExcl,ExpDocDate,"&gt;="&amp;DATE(YEAR(E$4),MONTH(E$4),1),ExpDocDate,"&lt;="&amp;E$4,ExpAccount,$A7))</f>
        <v>0</v>
      </c>
      <c r="F7" s="34" cm="1">
        <f t="array" aca="1" ref="F7" ca="1">IF(RIGHT($A7,1)="G",SUMIFS(IncExcl,IncDocDate,"&gt;="&amp;DATE(YEAR(F$4),MONTH(F$4),1),IncDocDate,"&lt;="&amp;F$4,IncAccount,LEFT($A7,5)&amp;"*")-SUMIFS(ExpExcl,ExpDocDate,"&gt;="&amp;DATE(YEAR(F$4),MONTH(F$4),1),ExpDocDate,"&lt;="&amp;F$4,ExpAccount,LEFT($A7,5)&amp;"*"),SUMIFS(IncExcl,IncDocDate,"&gt;="&amp;DATE(YEAR(F$4),MONTH(F$4),1),IncDocDate,"&lt;="&amp;F$4,IncAccount,$A7)-SUMIFS(ExpExcl,ExpDocDate,"&gt;="&amp;DATE(YEAR(F$4),MONTH(F$4),1),ExpDocDate,"&lt;="&amp;F$4,ExpAccount,$A7))</f>
        <v>0</v>
      </c>
      <c r="G7" s="34" cm="1">
        <f t="array" aca="1" ref="G7" ca="1">IF(RIGHT($A7,1)="G",SUMIFS(IncExcl,IncDocDate,"&gt;="&amp;DATE(YEAR(G$4),MONTH(G$4),1),IncDocDate,"&lt;="&amp;G$4,IncAccount,LEFT($A7,5)&amp;"*")-SUMIFS(ExpExcl,ExpDocDate,"&gt;="&amp;DATE(YEAR(G$4),MONTH(G$4),1),ExpDocDate,"&lt;="&amp;G$4,ExpAccount,LEFT($A7,5)&amp;"*"),SUMIFS(IncExcl,IncDocDate,"&gt;="&amp;DATE(YEAR(G$4),MONTH(G$4),1),IncDocDate,"&lt;="&amp;G$4,IncAccount,$A7)-SUMIFS(ExpExcl,ExpDocDate,"&gt;="&amp;DATE(YEAR(G$4),MONTH(G$4),1),ExpDocDate,"&lt;="&amp;G$4,ExpAccount,$A7))</f>
        <v>0</v>
      </c>
      <c r="H7" s="34" cm="1">
        <f t="array" aca="1" ref="H7" ca="1">IF(RIGHT($A7,1)="G",SUMIFS(IncExcl,IncDocDate,"&gt;="&amp;DATE(YEAR(H$4),MONTH(H$4),1),IncDocDate,"&lt;="&amp;H$4,IncAccount,LEFT($A7,5)&amp;"*")-SUMIFS(ExpExcl,ExpDocDate,"&gt;="&amp;DATE(YEAR(H$4),MONTH(H$4),1),ExpDocDate,"&lt;="&amp;H$4,ExpAccount,LEFT($A7,5)&amp;"*"),SUMIFS(IncExcl,IncDocDate,"&gt;="&amp;DATE(YEAR(H$4),MONTH(H$4),1),IncDocDate,"&lt;="&amp;H$4,IncAccount,$A7)-SUMIFS(ExpExcl,ExpDocDate,"&gt;="&amp;DATE(YEAR(H$4),MONTH(H$4),1),ExpDocDate,"&lt;="&amp;H$4,ExpAccount,$A7))</f>
        <v>0</v>
      </c>
      <c r="I7" s="34" cm="1">
        <f t="array" aca="1" ref="I7" ca="1">IF(RIGHT($A7,1)="G",SUMIFS(IncExcl,IncDocDate,"&gt;="&amp;DATE(YEAR(I$4),MONTH(I$4),1),IncDocDate,"&lt;="&amp;I$4,IncAccount,LEFT($A7,5)&amp;"*")-SUMIFS(ExpExcl,ExpDocDate,"&gt;="&amp;DATE(YEAR(I$4),MONTH(I$4),1),ExpDocDate,"&lt;="&amp;I$4,ExpAccount,LEFT($A7,5)&amp;"*"),SUMIFS(IncExcl,IncDocDate,"&gt;="&amp;DATE(YEAR(I$4),MONTH(I$4),1),IncDocDate,"&lt;="&amp;I$4,IncAccount,$A7)-SUMIFS(ExpExcl,ExpDocDate,"&gt;="&amp;DATE(YEAR(I$4),MONTH(I$4),1),ExpDocDate,"&lt;="&amp;I$4,ExpAccount,$A7))</f>
        <v>0</v>
      </c>
      <c r="J7" s="34" cm="1">
        <f t="array" aca="1" ref="J7" ca="1">IF(RIGHT($A7,1)="G",SUMIFS(IncExcl,IncDocDate,"&gt;="&amp;DATE(YEAR(J$4),MONTH(J$4),1),IncDocDate,"&lt;="&amp;J$4,IncAccount,LEFT($A7,5)&amp;"*")-SUMIFS(ExpExcl,ExpDocDate,"&gt;="&amp;DATE(YEAR(J$4),MONTH(J$4),1),ExpDocDate,"&lt;="&amp;J$4,ExpAccount,LEFT($A7,5)&amp;"*"),SUMIFS(IncExcl,IncDocDate,"&gt;="&amp;DATE(YEAR(J$4),MONTH(J$4),1),IncDocDate,"&lt;="&amp;J$4,IncAccount,$A7)-SUMIFS(ExpExcl,ExpDocDate,"&gt;="&amp;DATE(YEAR(J$4),MONTH(J$4),1),ExpDocDate,"&lt;="&amp;J$4,ExpAccount,$A7))</f>
        <v>0</v>
      </c>
      <c r="K7" s="34" cm="1">
        <f t="array" aca="1" ref="K7" ca="1">IF(RIGHT($A7,1)="G",SUMIFS(IncExcl,IncDocDate,"&gt;="&amp;DATE(YEAR(K$4),MONTH(K$4),1),IncDocDate,"&lt;="&amp;K$4,IncAccount,LEFT($A7,5)&amp;"*")-SUMIFS(ExpExcl,ExpDocDate,"&gt;="&amp;DATE(YEAR(K$4),MONTH(K$4),1),ExpDocDate,"&lt;="&amp;K$4,ExpAccount,LEFT($A7,5)&amp;"*"),SUMIFS(IncExcl,IncDocDate,"&gt;="&amp;DATE(YEAR(K$4),MONTH(K$4),1),IncDocDate,"&lt;="&amp;K$4,IncAccount,$A7)-SUMIFS(ExpExcl,ExpDocDate,"&gt;="&amp;DATE(YEAR(K$4),MONTH(K$4),1),ExpDocDate,"&lt;="&amp;K$4,ExpAccount,$A7))</f>
        <v>0</v>
      </c>
      <c r="L7" s="34" cm="1">
        <f t="array" aca="1" ref="L7" ca="1">IF(RIGHT($A7,1)="G",SUMIFS(IncExcl,IncDocDate,"&gt;="&amp;DATE(YEAR(L$4),MONTH(L$4),1),IncDocDate,"&lt;="&amp;L$4,IncAccount,LEFT($A7,5)&amp;"*")-SUMIFS(ExpExcl,ExpDocDate,"&gt;="&amp;DATE(YEAR(L$4),MONTH(L$4),1),ExpDocDate,"&lt;="&amp;L$4,ExpAccount,LEFT($A7,5)&amp;"*"),SUMIFS(IncExcl,IncDocDate,"&gt;="&amp;DATE(YEAR(L$4),MONTH(L$4),1),IncDocDate,"&lt;="&amp;L$4,IncAccount,$A7)-SUMIFS(ExpExcl,ExpDocDate,"&gt;="&amp;DATE(YEAR(L$4),MONTH(L$4),1),ExpDocDate,"&lt;="&amp;L$4,ExpAccount,$A7))</f>
        <v>0</v>
      </c>
      <c r="M7" s="34" cm="1">
        <f t="array" aca="1" ref="M7" ca="1">IF(RIGHT($A7,1)="G",SUMIFS(IncExcl,IncDocDate,"&gt;="&amp;DATE(YEAR(M$4),MONTH(M$4),1),IncDocDate,"&lt;="&amp;M$4,IncAccount,LEFT($A7,5)&amp;"*")-SUMIFS(ExpExcl,ExpDocDate,"&gt;="&amp;DATE(YEAR(M$4),MONTH(M$4),1),ExpDocDate,"&lt;="&amp;M$4,ExpAccount,LEFT($A7,5)&amp;"*"),SUMIFS(IncExcl,IncDocDate,"&gt;="&amp;DATE(YEAR(M$4),MONTH(M$4),1),IncDocDate,"&lt;="&amp;M$4,IncAccount,$A7)-SUMIFS(ExpExcl,ExpDocDate,"&gt;="&amp;DATE(YEAR(M$4),MONTH(M$4),1),ExpDocDate,"&lt;="&amp;M$4,ExpAccount,$A7))</f>
        <v>0</v>
      </c>
      <c r="N7" s="34" cm="1">
        <f t="array" aca="1" ref="N7" ca="1">IF(RIGHT($A7,1)="G",SUMIFS(IncExcl,IncDocDate,"&gt;="&amp;DATE(YEAR(N$4),MONTH(N$4),1),IncDocDate,"&lt;="&amp;N$4,IncAccount,LEFT($A7,5)&amp;"*")-SUMIFS(ExpExcl,ExpDocDate,"&gt;="&amp;DATE(YEAR(N$4),MONTH(N$4),1),ExpDocDate,"&lt;="&amp;N$4,ExpAccount,LEFT($A7,5)&amp;"*"),SUMIFS(IncExcl,IncDocDate,"&gt;="&amp;DATE(YEAR(N$4),MONTH(N$4),1),IncDocDate,"&lt;="&amp;N$4,IncAccount,$A7)-SUMIFS(ExpExcl,ExpDocDate,"&gt;="&amp;DATE(YEAR(N$4),MONTH(N$4),1),ExpDocDate,"&lt;="&amp;N$4,ExpAccount,$A7))</f>
        <v>0</v>
      </c>
      <c r="O7" s="188">
        <f t="shared" ca="1" si="1"/>
        <v>9253411.0782742687</v>
      </c>
      <c r="P7" s="188" cm="1">
        <f t="array" aca="1" ref="P7" ca="1">IF(RIGHT($A7,1)="G",SUMIFS(IncExcl,IncDocDate,"&gt;="&amp;$P$2,IncDocDate,"&lt;="&amp;$P$3,IncAccount,LEFT($A7,5)&amp;"*")-SUMIFS(ExpExcl,ExpDocDate,"&gt;="&amp;$P$2,ExpDocDate,"&lt;="&amp;$P$3,ExpAccount,LEFT($A7,5)&amp;"*"),SUMIFS(IncExcl,IncDocDate,"&gt;="&amp;$P$2,IncDocDate,"&lt;="&amp;$P$3,IncAccount,$A7)-SUMIFS(ExpExcl,ExpDocDate,"&gt;="&amp;$P$2,ExpDocDate,"&lt;="&amp;$P$3,ExpAccount,$A7))</f>
        <v>111637.00909090909</v>
      </c>
    </row>
    <row r="8" spans="1:16" ht="15.95" customHeight="1" x14ac:dyDescent="0.3">
      <c r="A8" s="277" t="s">
        <v>740</v>
      </c>
      <c r="B8" s="12" t="str">
        <f ca="1">IF(RIGHT($A8,1)="G",IF(ISNA(VLOOKUP(LEFT($A8,LEN($A8)-1),GroupAll,COLUMN(Groups!$B$4),0)),"Group Not Found",VLOOKUP(LEFT($A8,LEN($A8)-1),GroupAll,COLUMN(Groups!$B$4),0)),IF(ISNA(VLOOKUP($A8,AccountAll,COLUMN(TB!$B$4),0)),"Account Not Found",VLOOKUP($A8,AccountAll,COLUMN(TB!$B$4),0)))</f>
        <v>Cleaning Services</v>
      </c>
      <c r="C8" s="34" cm="1">
        <f t="array" aca="1" ref="C8" ca="1">IF(RIGHT($A8,1)="G",SUMIFS(IncExcl,IncDocDate,"&gt;="&amp;DATE(YEAR(C$4),MONTH(C$4),1),IncDocDate,"&lt;="&amp;C$4,IncAccount,LEFT($A8,5)&amp;"*")-SUMIFS(ExpExcl,ExpDocDate,"&gt;="&amp;DATE(YEAR(C$4),MONTH(C$4),1),ExpDocDate,"&lt;="&amp;C$4,ExpAccount,LEFT($A8,5)&amp;"*"),SUMIFS(IncExcl,IncDocDate,"&gt;="&amp;DATE(YEAR(C$4),MONTH(C$4),1),IncDocDate,"&lt;="&amp;C$4,IncAccount,$A8)-SUMIFS(ExpExcl,ExpDocDate,"&gt;="&amp;DATE(YEAR(C$4),MONTH(C$4),1),ExpDocDate,"&lt;="&amp;C$4,ExpAccount,$A8))</f>
        <v>12417399.974576272</v>
      </c>
      <c r="D8" s="34" cm="1">
        <f t="array" aca="1" ref="D8" ca="1">IF(RIGHT($A8,1)="G",SUMIFS(IncExcl,IncDocDate,"&gt;="&amp;DATE(YEAR(D$4),MONTH(D$4),1),IncDocDate,"&lt;="&amp;D$4,IncAccount,LEFT($A8,5)&amp;"*")-SUMIFS(ExpExcl,ExpDocDate,"&gt;="&amp;DATE(YEAR(D$4),MONTH(D$4),1),ExpDocDate,"&lt;="&amp;D$4,ExpAccount,LEFT($A8,5)&amp;"*"),SUMIFS(IncExcl,IncDocDate,"&gt;="&amp;DATE(YEAR(D$4),MONTH(D$4),1),IncDocDate,"&lt;="&amp;D$4,IncAccount,$A8)-SUMIFS(ExpExcl,ExpDocDate,"&gt;="&amp;DATE(YEAR(D$4),MONTH(D$4),1),ExpDocDate,"&lt;="&amp;D$4,ExpAccount,$A8))</f>
        <v>0</v>
      </c>
      <c r="E8" s="34" cm="1">
        <f t="array" aca="1" ref="E8" ca="1">IF(RIGHT($A8,1)="G",SUMIFS(IncExcl,IncDocDate,"&gt;="&amp;DATE(YEAR(E$4),MONTH(E$4),1),IncDocDate,"&lt;="&amp;E$4,IncAccount,LEFT($A8,5)&amp;"*")-SUMIFS(ExpExcl,ExpDocDate,"&gt;="&amp;DATE(YEAR(E$4),MONTH(E$4),1),ExpDocDate,"&lt;="&amp;E$4,ExpAccount,LEFT($A8,5)&amp;"*"),SUMIFS(IncExcl,IncDocDate,"&gt;="&amp;DATE(YEAR(E$4),MONTH(E$4),1),IncDocDate,"&lt;="&amp;E$4,IncAccount,$A8)-SUMIFS(ExpExcl,ExpDocDate,"&gt;="&amp;DATE(YEAR(E$4),MONTH(E$4),1),ExpDocDate,"&lt;="&amp;E$4,ExpAccount,$A8))</f>
        <v>0</v>
      </c>
      <c r="F8" s="34" cm="1">
        <f t="array" aca="1" ref="F8" ca="1">IF(RIGHT($A8,1)="G",SUMIFS(IncExcl,IncDocDate,"&gt;="&amp;DATE(YEAR(F$4),MONTH(F$4),1),IncDocDate,"&lt;="&amp;F$4,IncAccount,LEFT($A8,5)&amp;"*")-SUMIFS(ExpExcl,ExpDocDate,"&gt;="&amp;DATE(YEAR(F$4),MONTH(F$4),1),ExpDocDate,"&lt;="&amp;F$4,ExpAccount,LEFT($A8,5)&amp;"*"),SUMIFS(IncExcl,IncDocDate,"&gt;="&amp;DATE(YEAR(F$4),MONTH(F$4),1),IncDocDate,"&lt;="&amp;F$4,IncAccount,$A8)-SUMIFS(ExpExcl,ExpDocDate,"&gt;="&amp;DATE(YEAR(F$4),MONTH(F$4),1),ExpDocDate,"&lt;="&amp;F$4,ExpAccount,$A8))</f>
        <v>0</v>
      </c>
      <c r="G8" s="34" cm="1">
        <f t="array" aca="1" ref="G8" ca="1">IF(RIGHT($A8,1)="G",SUMIFS(IncExcl,IncDocDate,"&gt;="&amp;DATE(YEAR(G$4),MONTH(G$4),1),IncDocDate,"&lt;="&amp;G$4,IncAccount,LEFT($A8,5)&amp;"*")-SUMIFS(ExpExcl,ExpDocDate,"&gt;="&amp;DATE(YEAR(G$4),MONTH(G$4),1),ExpDocDate,"&lt;="&amp;G$4,ExpAccount,LEFT($A8,5)&amp;"*"),SUMIFS(IncExcl,IncDocDate,"&gt;="&amp;DATE(YEAR(G$4),MONTH(G$4),1),IncDocDate,"&lt;="&amp;G$4,IncAccount,$A8)-SUMIFS(ExpExcl,ExpDocDate,"&gt;="&amp;DATE(YEAR(G$4),MONTH(G$4),1),ExpDocDate,"&lt;="&amp;G$4,ExpAccount,$A8))</f>
        <v>0</v>
      </c>
      <c r="H8" s="34" cm="1">
        <f t="array" aca="1" ref="H8" ca="1">IF(RIGHT($A8,1)="G",SUMIFS(IncExcl,IncDocDate,"&gt;="&amp;DATE(YEAR(H$4),MONTH(H$4),1),IncDocDate,"&lt;="&amp;H$4,IncAccount,LEFT($A8,5)&amp;"*")-SUMIFS(ExpExcl,ExpDocDate,"&gt;="&amp;DATE(YEAR(H$4),MONTH(H$4),1),ExpDocDate,"&lt;="&amp;H$4,ExpAccount,LEFT($A8,5)&amp;"*"),SUMIFS(IncExcl,IncDocDate,"&gt;="&amp;DATE(YEAR(H$4),MONTH(H$4),1),IncDocDate,"&lt;="&amp;H$4,IncAccount,$A8)-SUMIFS(ExpExcl,ExpDocDate,"&gt;="&amp;DATE(YEAR(H$4),MONTH(H$4),1),ExpDocDate,"&lt;="&amp;H$4,ExpAccount,$A8))</f>
        <v>0</v>
      </c>
      <c r="I8" s="34" cm="1">
        <f t="array" aca="1" ref="I8" ca="1">IF(RIGHT($A8,1)="G",SUMIFS(IncExcl,IncDocDate,"&gt;="&amp;DATE(YEAR(I$4),MONTH(I$4),1),IncDocDate,"&lt;="&amp;I$4,IncAccount,LEFT($A8,5)&amp;"*")-SUMIFS(ExpExcl,ExpDocDate,"&gt;="&amp;DATE(YEAR(I$4),MONTH(I$4),1),ExpDocDate,"&lt;="&amp;I$4,ExpAccount,LEFT($A8,5)&amp;"*"),SUMIFS(IncExcl,IncDocDate,"&gt;="&amp;DATE(YEAR(I$4),MONTH(I$4),1),IncDocDate,"&lt;="&amp;I$4,IncAccount,$A8)-SUMIFS(ExpExcl,ExpDocDate,"&gt;="&amp;DATE(YEAR(I$4),MONTH(I$4),1),ExpDocDate,"&lt;="&amp;I$4,ExpAccount,$A8))</f>
        <v>0</v>
      </c>
      <c r="J8" s="34" cm="1">
        <f t="array" aca="1" ref="J8" ca="1">IF(RIGHT($A8,1)="G",SUMIFS(IncExcl,IncDocDate,"&gt;="&amp;DATE(YEAR(J$4),MONTH(J$4),1),IncDocDate,"&lt;="&amp;J$4,IncAccount,LEFT($A8,5)&amp;"*")-SUMIFS(ExpExcl,ExpDocDate,"&gt;="&amp;DATE(YEAR(J$4),MONTH(J$4),1),ExpDocDate,"&lt;="&amp;J$4,ExpAccount,LEFT($A8,5)&amp;"*"),SUMIFS(IncExcl,IncDocDate,"&gt;="&amp;DATE(YEAR(J$4),MONTH(J$4),1),IncDocDate,"&lt;="&amp;J$4,IncAccount,$A8)-SUMIFS(ExpExcl,ExpDocDate,"&gt;="&amp;DATE(YEAR(J$4),MONTH(J$4),1),ExpDocDate,"&lt;="&amp;J$4,ExpAccount,$A8))</f>
        <v>0</v>
      </c>
      <c r="K8" s="34" cm="1">
        <f t="array" aca="1" ref="K8" ca="1">IF(RIGHT($A8,1)="G",SUMIFS(IncExcl,IncDocDate,"&gt;="&amp;DATE(YEAR(K$4),MONTH(K$4),1),IncDocDate,"&lt;="&amp;K$4,IncAccount,LEFT($A8,5)&amp;"*")-SUMIFS(ExpExcl,ExpDocDate,"&gt;="&amp;DATE(YEAR(K$4),MONTH(K$4),1),ExpDocDate,"&lt;="&amp;K$4,ExpAccount,LEFT($A8,5)&amp;"*"),SUMIFS(IncExcl,IncDocDate,"&gt;="&amp;DATE(YEAR(K$4),MONTH(K$4),1),IncDocDate,"&lt;="&amp;K$4,IncAccount,$A8)-SUMIFS(ExpExcl,ExpDocDate,"&gt;="&amp;DATE(YEAR(K$4),MONTH(K$4),1),ExpDocDate,"&lt;="&amp;K$4,ExpAccount,$A8))</f>
        <v>0</v>
      </c>
      <c r="L8" s="34" cm="1">
        <f t="array" aca="1" ref="L8" ca="1">IF(RIGHT($A8,1)="G",SUMIFS(IncExcl,IncDocDate,"&gt;="&amp;DATE(YEAR(L$4),MONTH(L$4),1),IncDocDate,"&lt;="&amp;L$4,IncAccount,LEFT($A8,5)&amp;"*")-SUMIFS(ExpExcl,ExpDocDate,"&gt;="&amp;DATE(YEAR(L$4),MONTH(L$4),1),ExpDocDate,"&lt;="&amp;L$4,ExpAccount,LEFT($A8,5)&amp;"*"),SUMIFS(IncExcl,IncDocDate,"&gt;="&amp;DATE(YEAR(L$4),MONTH(L$4),1),IncDocDate,"&lt;="&amp;L$4,IncAccount,$A8)-SUMIFS(ExpExcl,ExpDocDate,"&gt;="&amp;DATE(YEAR(L$4),MONTH(L$4),1),ExpDocDate,"&lt;="&amp;L$4,ExpAccount,$A8))</f>
        <v>0</v>
      </c>
      <c r="M8" s="34" cm="1">
        <f t="array" aca="1" ref="M8" ca="1">IF(RIGHT($A8,1)="G",SUMIFS(IncExcl,IncDocDate,"&gt;="&amp;DATE(YEAR(M$4),MONTH(M$4),1),IncDocDate,"&lt;="&amp;M$4,IncAccount,LEFT($A8,5)&amp;"*")-SUMIFS(ExpExcl,ExpDocDate,"&gt;="&amp;DATE(YEAR(M$4),MONTH(M$4),1),ExpDocDate,"&lt;="&amp;M$4,ExpAccount,LEFT($A8,5)&amp;"*"),SUMIFS(IncExcl,IncDocDate,"&gt;="&amp;DATE(YEAR(M$4),MONTH(M$4),1),IncDocDate,"&lt;="&amp;M$4,IncAccount,$A8)-SUMIFS(ExpExcl,ExpDocDate,"&gt;="&amp;DATE(YEAR(M$4),MONTH(M$4),1),ExpDocDate,"&lt;="&amp;M$4,ExpAccount,$A8))</f>
        <v>0</v>
      </c>
      <c r="N8" s="34" cm="1">
        <f t="array" aca="1" ref="N8" ca="1">IF(RIGHT($A8,1)="G",SUMIFS(IncExcl,IncDocDate,"&gt;="&amp;DATE(YEAR(N$4),MONTH(N$4),1),IncDocDate,"&lt;="&amp;N$4,IncAccount,LEFT($A8,5)&amp;"*")-SUMIFS(ExpExcl,ExpDocDate,"&gt;="&amp;DATE(YEAR(N$4),MONTH(N$4),1),ExpDocDate,"&lt;="&amp;N$4,ExpAccount,LEFT($A8,5)&amp;"*"),SUMIFS(IncExcl,IncDocDate,"&gt;="&amp;DATE(YEAR(N$4),MONTH(N$4),1),IncDocDate,"&lt;="&amp;N$4,IncAccount,$A8)-SUMIFS(ExpExcl,ExpDocDate,"&gt;="&amp;DATE(YEAR(N$4),MONTH(N$4),1),ExpDocDate,"&lt;="&amp;N$4,ExpAccount,$A8))</f>
        <v>0</v>
      </c>
      <c r="O8" s="188">
        <f t="shared" ca="1" si="1"/>
        <v>12417399.974576272</v>
      </c>
      <c r="P8" s="188" cm="1">
        <f t="array" aca="1" ref="P8" ca="1">IF(RIGHT($A8,1)="G",SUMIFS(IncExcl,IncDocDate,"&gt;="&amp;$P$2,IncDocDate,"&lt;="&amp;$P$3,IncAccount,LEFT($A8,5)&amp;"*")-SUMIFS(ExpExcl,ExpDocDate,"&gt;="&amp;$P$2,ExpDocDate,"&lt;="&amp;$P$3,ExpAccount,LEFT($A8,5)&amp;"*"),SUMIFS(IncExcl,IncDocDate,"&gt;="&amp;$P$2,IncDocDate,"&lt;="&amp;$P$3,IncAccount,$A8)-SUMIFS(ExpExcl,ExpDocDate,"&gt;="&amp;$P$2,ExpDocDate,"&lt;="&amp;$P$3,ExpAccount,$A8))</f>
        <v>0</v>
      </c>
    </row>
    <row r="9" spans="1:16" ht="15.95" customHeight="1" x14ac:dyDescent="0.3">
      <c r="A9" s="277" t="s">
        <v>741</v>
      </c>
      <c r="B9" s="12" t="str">
        <f ca="1">IF(RIGHT($A9,1)="G",IF(ISNA(VLOOKUP(LEFT($A9,LEN($A9)-1),GroupAll,COLUMN(Groups!$B$4),0)),"Group Not Found",VLOOKUP(LEFT($A9,LEN($A9)-1),GroupAll,COLUMN(Groups!$B$4),0)),IF(ISNA(VLOOKUP($A9,AccountAll,COLUMN(TB!$B$4),0)),"Account Not Found",VLOOKUP($A9,AccountAll,COLUMN(TB!$B$4),0)))</f>
        <v>Consultation Fee</v>
      </c>
      <c r="C9" s="34" cm="1">
        <f t="array" aca="1" ref="C9" ca="1">IF(RIGHT($A9,1)="G",SUMIFS(IncExcl,IncDocDate,"&gt;="&amp;DATE(YEAR(C$4),MONTH(C$4),1),IncDocDate,"&lt;="&amp;C$4,IncAccount,LEFT($A9,5)&amp;"*")-SUMIFS(ExpExcl,ExpDocDate,"&gt;="&amp;DATE(YEAR(C$4),MONTH(C$4),1),ExpDocDate,"&lt;="&amp;C$4,ExpAccount,LEFT($A9,5)&amp;"*"),SUMIFS(IncExcl,IncDocDate,"&gt;="&amp;DATE(YEAR(C$4),MONTH(C$4),1),IncDocDate,"&lt;="&amp;C$4,IncAccount,$A9)-SUMIFS(ExpExcl,ExpDocDate,"&gt;="&amp;DATE(YEAR(C$4),MONTH(C$4),1),ExpDocDate,"&lt;="&amp;C$4,ExpAccount,$A9))</f>
        <v>0</v>
      </c>
      <c r="D9" s="34" cm="1">
        <f t="array" aca="1" ref="D9" ca="1">IF(RIGHT($A9,1)="G",SUMIFS(IncExcl,IncDocDate,"&gt;="&amp;DATE(YEAR(D$4),MONTH(D$4),1),IncDocDate,"&lt;="&amp;D$4,IncAccount,LEFT($A9,5)&amp;"*")-SUMIFS(ExpExcl,ExpDocDate,"&gt;="&amp;DATE(YEAR(D$4),MONTH(D$4),1),ExpDocDate,"&lt;="&amp;D$4,ExpAccount,LEFT($A9,5)&amp;"*"),SUMIFS(IncExcl,IncDocDate,"&gt;="&amp;DATE(YEAR(D$4),MONTH(D$4),1),IncDocDate,"&lt;="&amp;D$4,IncAccount,$A9)-SUMIFS(ExpExcl,ExpDocDate,"&gt;="&amp;DATE(YEAR(D$4),MONTH(D$4),1),ExpDocDate,"&lt;="&amp;D$4,ExpAccount,$A9))</f>
        <v>0</v>
      </c>
      <c r="E9" s="34" cm="1">
        <f t="array" aca="1" ref="E9" ca="1">IF(RIGHT($A9,1)="G",SUMIFS(IncExcl,IncDocDate,"&gt;="&amp;DATE(YEAR(E$4),MONTH(E$4),1),IncDocDate,"&lt;="&amp;E$4,IncAccount,LEFT($A9,5)&amp;"*")-SUMIFS(ExpExcl,ExpDocDate,"&gt;="&amp;DATE(YEAR(E$4),MONTH(E$4),1),ExpDocDate,"&lt;="&amp;E$4,ExpAccount,LEFT($A9,5)&amp;"*"),SUMIFS(IncExcl,IncDocDate,"&gt;="&amp;DATE(YEAR(E$4),MONTH(E$4),1),IncDocDate,"&lt;="&amp;E$4,IncAccount,$A9)-SUMIFS(ExpExcl,ExpDocDate,"&gt;="&amp;DATE(YEAR(E$4),MONTH(E$4),1),ExpDocDate,"&lt;="&amp;E$4,ExpAccount,$A9))</f>
        <v>0</v>
      </c>
      <c r="F9" s="34" cm="1">
        <f t="array" aca="1" ref="F9" ca="1">IF(RIGHT($A9,1)="G",SUMIFS(IncExcl,IncDocDate,"&gt;="&amp;DATE(YEAR(F$4),MONTH(F$4),1),IncDocDate,"&lt;="&amp;F$4,IncAccount,LEFT($A9,5)&amp;"*")-SUMIFS(ExpExcl,ExpDocDate,"&gt;="&amp;DATE(YEAR(F$4),MONTH(F$4),1),ExpDocDate,"&lt;="&amp;F$4,ExpAccount,LEFT($A9,5)&amp;"*"),SUMIFS(IncExcl,IncDocDate,"&gt;="&amp;DATE(YEAR(F$4),MONTH(F$4),1),IncDocDate,"&lt;="&amp;F$4,IncAccount,$A9)-SUMIFS(ExpExcl,ExpDocDate,"&gt;="&amp;DATE(YEAR(F$4),MONTH(F$4),1),ExpDocDate,"&lt;="&amp;F$4,ExpAccount,$A9))</f>
        <v>0</v>
      </c>
      <c r="G9" s="34" cm="1">
        <f t="array" aca="1" ref="G9" ca="1">IF(RIGHT($A9,1)="G",SUMIFS(IncExcl,IncDocDate,"&gt;="&amp;DATE(YEAR(G$4),MONTH(G$4),1),IncDocDate,"&lt;="&amp;G$4,IncAccount,LEFT($A9,5)&amp;"*")-SUMIFS(ExpExcl,ExpDocDate,"&gt;="&amp;DATE(YEAR(G$4),MONTH(G$4),1),ExpDocDate,"&lt;="&amp;G$4,ExpAccount,LEFT($A9,5)&amp;"*"),SUMIFS(IncExcl,IncDocDate,"&gt;="&amp;DATE(YEAR(G$4),MONTH(G$4),1),IncDocDate,"&lt;="&amp;G$4,IncAccount,$A9)-SUMIFS(ExpExcl,ExpDocDate,"&gt;="&amp;DATE(YEAR(G$4),MONTH(G$4),1),ExpDocDate,"&lt;="&amp;G$4,ExpAccount,$A9))</f>
        <v>0</v>
      </c>
      <c r="H9" s="34" cm="1">
        <f t="array" aca="1" ref="H9" ca="1">IF(RIGHT($A9,1)="G",SUMIFS(IncExcl,IncDocDate,"&gt;="&amp;DATE(YEAR(H$4),MONTH(H$4),1),IncDocDate,"&lt;="&amp;H$4,IncAccount,LEFT($A9,5)&amp;"*")-SUMIFS(ExpExcl,ExpDocDate,"&gt;="&amp;DATE(YEAR(H$4),MONTH(H$4),1),ExpDocDate,"&lt;="&amp;H$4,ExpAccount,LEFT($A9,5)&amp;"*"),SUMIFS(IncExcl,IncDocDate,"&gt;="&amp;DATE(YEAR(H$4),MONTH(H$4),1),IncDocDate,"&lt;="&amp;H$4,IncAccount,$A9)-SUMIFS(ExpExcl,ExpDocDate,"&gt;="&amp;DATE(YEAR(H$4),MONTH(H$4),1),ExpDocDate,"&lt;="&amp;H$4,ExpAccount,$A9))</f>
        <v>0</v>
      </c>
      <c r="I9" s="34" cm="1">
        <f t="array" aca="1" ref="I9" ca="1">IF(RIGHT($A9,1)="G",SUMIFS(IncExcl,IncDocDate,"&gt;="&amp;DATE(YEAR(I$4),MONTH(I$4),1),IncDocDate,"&lt;="&amp;I$4,IncAccount,LEFT($A9,5)&amp;"*")-SUMIFS(ExpExcl,ExpDocDate,"&gt;="&amp;DATE(YEAR(I$4),MONTH(I$4),1),ExpDocDate,"&lt;="&amp;I$4,ExpAccount,LEFT($A9,5)&amp;"*"),SUMIFS(IncExcl,IncDocDate,"&gt;="&amp;DATE(YEAR(I$4),MONTH(I$4),1),IncDocDate,"&lt;="&amp;I$4,IncAccount,$A9)-SUMIFS(ExpExcl,ExpDocDate,"&gt;="&amp;DATE(YEAR(I$4),MONTH(I$4),1),ExpDocDate,"&lt;="&amp;I$4,ExpAccount,$A9))</f>
        <v>0</v>
      </c>
      <c r="J9" s="34" cm="1">
        <f t="array" aca="1" ref="J9" ca="1">IF(RIGHT($A9,1)="G",SUMIFS(IncExcl,IncDocDate,"&gt;="&amp;DATE(YEAR(J$4),MONTH(J$4),1),IncDocDate,"&lt;="&amp;J$4,IncAccount,LEFT($A9,5)&amp;"*")-SUMIFS(ExpExcl,ExpDocDate,"&gt;="&amp;DATE(YEAR(J$4),MONTH(J$4),1),ExpDocDate,"&lt;="&amp;J$4,ExpAccount,LEFT($A9,5)&amp;"*"),SUMIFS(IncExcl,IncDocDate,"&gt;="&amp;DATE(YEAR(J$4),MONTH(J$4),1),IncDocDate,"&lt;="&amp;J$4,IncAccount,$A9)-SUMIFS(ExpExcl,ExpDocDate,"&gt;="&amp;DATE(YEAR(J$4),MONTH(J$4),1),ExpDocDate,"&lt;="&amp;J$4,ExpAccount,$A9))</f>
        <v>0</v>
      </c>
      <c r="K9" s="34" cm="1">
        <f t="array" aca="1" ref="K9" ca="1">IF(RIGHT($A9,1)="G",SUMIFS(IncExcl,IncDocDate,"&gt;="&amp;DATE(YEAR(K$4),MONTH(K$4),1),IncDocDate,"&lt;="&amp;K$4,IncAccount,LEFT($A9,5)&amp;"*")-SUMIFS(ExpExcl,ExpDocDate,"&gt;="&amp;DATE(YEAR(K$4),MONTH(K$4),1),ExpDocDate,"&lt;="&amp;K$4,ExpAccount,LEFT($A9,5)&amp;"*"),SUMIFS(IncExcl,IncDocDate,"&gt;="&amp;DATE(YEAR(K$4),MONTH(K$4),1),IncDocDate,"&lt;="&amp;K$4,IncAccount,$A9)-SUMIFS(ExpExcl,ExpDocDate,"&gt;="&amp;DATE(YEAR(K$4),MONTH(K$4),1),ExpDocDate,"&lt;="&amp;K$4,ExpAccount,$A9))</f>
        <v>0</v>
      </c>
      <c r="L9" s="34" cm="1">
        <f t="array" aca="1" ref="L9" ca="1">IF(RIGHT($A9,1)="G",SUMIFS(IncExcl,IncDocDate,"&gt;="&amp;DATE(YEAR(L$4),MONTH(L$4),1),IncDocDate,"&lt;="&amp;L$4,IncAccount,LEFT($A9,5)&amp;"*")-SUMIFS(ExpExcl,ExpDocDate,"&gt;="&amp;DATE(YEAR(L$4),MONTH(L$4),1),ExpDocDate,"&lt;="&amp;L$4,ExpAccount,LEFT($A9,5)&amp;"*"),SUMIFS(IncExcl,IncDocDate,"&gt;="&amp;DATE(YEAR(L$4),MONTH(L$4),1),IncDocDate,"&lt;="&amp;L$4,IncAccount,$A9)-SUMIFS(ExpExcl,ExpDocDate,"&gt;="&amp;DATE(YEAR(L$4),MONTH(L$4),1),ExpDocDate,"&lt;="&amp;L$4,ExpAccount,$A9))</f>
        <v>0</v>
      </c>
      <c r="M9" s="34" cm="1">
        <f t="array" aca="1" ref="M9" ca="1">IF(RIGHT($A9,1)="G",SUMIFS(IncExcl,IncDocDate,"&gt;="&amp;DATE(YEAR(M$4),MONTH(M$4),1),IncDocDate,"&lt;="&amp;M$4,IncAccount,LEFT($A9,5)&amp;"*")-SUMIFS(ExpExcl,ExpDocDate,"&gt;="&amp;DATE(YEAR(M$4),MONTH(M$4),1),ExpDocDate,"&lt;="&amp;M$4,ExpAccount,LEFT($A9,5)&amp;"*"),SUMIFS(IncExcl,IncDocDate,"&gt;="&amp;DATE(YEAR(M$4),MONTH(M$4),1),IncDocDate,"&lt;="&amp;M$4,IncAccount,$A9)-SUMIFS(ExpExcl,ExpDocDate,"&gt;="&amp;DATE(YEAR(M$4),MONTH(M$4),1),ExpDocDate,"&lt;="&amp;M$4,ExpAccount,$A9))</f>
        <v>0</v>
      </c>
      <c r="N9" s="34" cm="1">
        <f t="array" aca="1" ref="N9" ca="1">IF(RIGHT($A9,1)="G",SUMIFS(IncExcl,IncDocDate,"&gt;="&amp;DATE(YEAR(N$4),MONTH(N$4),1),IncDocDate,"&lt;="&amp;N$4,IncAccount,LEFT($A9,5)&amp;"*")-SUMIFS(ExpExcl,ExpDocDate,"&gt;="&amp;DATE(YEAR(N$4),MONTH(N$4),1),ExpDocDate,"&lt;="&amp;N$4,ExpAccount,LEFT($A9,5)&amp;"*"),SUMIFS(IncExcl,IncDocDate,"&gt;="&amp;DATE(YEAR(N$4),MONTH(N$4),1),IncDocDate,"&lt;="&amp;N$4,IncAccount,$A9)-SUMIFS(ExpExcl,ExpDocDate,"&gt;="&amp;DATE(YEAR(N$4),MONTH(N$4),1),ExpDocDate,"&lt;="&amp;N$4,ExpAccount,$A9))</f>
        <v>0</v>
      </c>
      <c r="O9" s="188">
        <f t="shared" ca="1" si="1"/>
        <v>0</v>
      </c>
      <c r="P9" s="188" cm="1">
        <f t="array" aca="1" ref="P9" ca="1">IF(RIGHT($A9,1)="G",SUMIFS(IncExcl,IncDocDate,"&gt;="&amp;$P$2,IncDocDate,"&lt;="&amp;$P$3,IncAccount,LEFT($A9,5)&amp;"*")-SUMIFS(ExpExcl,ExpDocDate,"&gt;="&amp;$P$2,ExpDocDate,"&lt;="&amp;$P$3,ExpAccount,LEFT($A9,5)&amp;"*"),SUMIFS(IncExcl,IncDocDate,"&gt;="&amp;$P$2,IncDocDate,"&lt;="&amp;$P$3,IncAccount,$A9)-SUMIFS(ExpExcl,ExpDocDate,"&gt;="&amp;$P$2,ExpDocDate,"&lt;="&amp;$P$3,ExpAccount,$A9))</f>
        <v>0</v>
      </c>
    </row>
    <row r="10" spans="1:16" s="3" customFormat="1" ht="15.95" customHeight="1" thickBot="1" x14ac:dyDescent="0.3">
      <c r="A10" s="278"/>
      <c r="B10" s="3" t="s">
        <v>257</v>
      </c>
      <c r="C10" s="133">
        <f ca="1">SUM(OFFSET(C4,1,0,ROW($B10)-ROW($B4)-1,1))</f>
        <v>86141693.171494603</v>
      </c>
      <c r="D10" s="133">
        <f t="shared" ref="D10:P10" ca="1" si="2">SUM(OFFSET(D4,1,0,ROW($B10)-ROW($B4)-1,1))</f>
        <v>10218310.423728812</v>
      </c>
      <c r="E10" s="133">
        <f t="shared" ca="1" si="2"/>
        <v>0</v>
      </c>
      <c r="F10" s="133">
        <f t="shared" ca="1" si="2"/>
        <v>0</v>
      </c>
      <c r="G10" s="133">
        <f t="shared" ca="1" si="2"/>
        <v>0</v>
      </c>
      <c r="H10" s="133">
        <f t="shared" ca="1" si="2"/>
        <v>0</v>
      </c>
      <c r="I10" s="133">
        <f t="shared" ca="1" si="2"/>
        <v>0</v>
      </c>
      <c r="J10" s="133">
        <f t="shared" ca="1" si="2"/>
        <v>0</v>
      </c>
      <c r="K10" s="133">
        <f t="shared" ca="1" si="2"/>
        <v>0</v>
      </c>
      <c r="L10" s="133">
        <f t="shared" ca="1" si="2"/>
        <v>0</v>
      </c>
      <c r="M10" s="133">
        <f t="shared" ca="1" si="2"/>
        <v>0</v>
      </c>
      <c r="N10" s="133">
        <f t="shared" ca="1" si="2"/>
        <v>0</v>
      </c>
      <c r="O10" s="133">
        <f t="shared" ca="1" si="2"/>
        <v>96360003.595223397</v>
      </c>
      <c r="P10" s="133">
        <f t="shared" ca="1" si="2"/>
        <v>16854490.568412945</v>
      </c>
    </row>
    <row r="11" spans="1:16" ht="15.95" customHeight="1" x14ac:dyDescent="0.3">
      <c r="A11" s="277" t="s">
        <v>256</v>
      </c>
      <c r="B11" s="12" t="str">
        <f ca="1">IF(RIGHT($A11,1)="G",IF(ISNA(VLOOKUP(LEFT($A11,LEN($A11)-1),GroupAll,COLUMN(Groups!$B$4),0)),"Group Not Found",VLOOKUP(LEFT($A11,LEN($A11)-1),GroupAll,COLUMN(Groups!$B$4),0)),IF(ISNA(VLOOKUP($A11,AccountAll,COLUMN(TB!$B$4),0)),"Account Not Found",VLOOKUP($A11,AccountAll,COLUMN(TB!$B$4),0)))</f>
        <v>Other Income</v>
      </c>
      <c r="C11" s="34" cm="1">
        <f t="array" aca="1" ref="C11" ca="1">IF(RIGHT($A11,1)="G",SUMIFS(IncExcl,IncDocDate,"&gt;="&amp;DATE(YEAR(C$4),MONTH(C$4),1),IncDocDate,"&lt;="&amp;C$4,IncAccount,LEFT($A11,5)&amp;"*")-SUMIFS(ExpExcl,ExpDocDate,"&gt;="&amp;DATE(YEAR(C$4),MONTH(C$4),1),ExpDocDate,"&lt;="&amp;C$4,ExpAccount,LEFT($A11,5)&amp;"*"),SUMIFS(IncExcl,IncDocDate,"&gt;="&amp;DATE(YEAR(C$4),MONTH(C$4),1),IncDocDate,"&lt;="&amp;C$4,IncAccount,$A11)-SUMIFS(ExpExcl,ExpDocDate,"&gt;="&amp;DATE(YEAR(C$4),MONTH(C$4),1),ExpDocDate,"&lt;="&amp;C$4,ExpAccount,$A11))</f>
        <v>0</v>
      </c>
      <c r="D11" s="34" cm="1">
        <f t="array" aca="1" ref="D11" ca="1">IF(RIGHT($A11,1)="G",SUMIFS(IncExcl,IncDocDate,"&gt;="&amp;DATE(YEAR(D$4),MONTH(D$4),1),IncDocDate,"&lt;="&amp;D$4,IncAccount,LEFT($A11,5)&amp;"*")-SUMIFS(ExpExcl,ExpDocDate,"&gt;="&amp;DATE(YEAR(D$4),MONTH(D$4),1),ExpDocDate,"&lt;="&amp;D$4,ExpAccount,LEFT($A11,5)&amp;"*"),SUMIFS(IncExcl,IncDocDate,"&gt;="&amp;DATE(YEAR(D$4),MONTH(D$4),1),IncDocDate,"&lt;="&amp;D$4,IncAccount,$A11)-SUMIFS(ExpExcl,ExpDocDate,"&gt;="&amp;DATE(YEAR(D$4),MONTH(D$4),1),ExpDocDate,"&lt;="&amp;D$4,ExpAccount,$A11))</f>
        <v>0</v>
      </c>
      <c r="E11" s="34" cm="1">
        <f t="array" aca="1" ref="E11" ca="1">IF(RIGHT($A11,1)="G",SUMIFS(IncExcl,IncDocDate,"&gt;="&amp;DATE(YEAR(E$4),MONTH(E$4),1),IncDocDate,"&lt;="&amp;E$4,IncAccount,LEFT($A11,5)&amp;"*")-SUMIFS(ExpExcl,ExpDocDate,"&gt;="&amp;DATE(YEAR(E$4),MONTH(E$4),1),ExpDocDate,"&lt;="&amp;E$4,ExpAccount,LEFT($A11,5)&amp;"*"),SUMIFS(IncExcl,IncDocDate,"&gt;="&amp;DATE(YEAR(E$4),MONTH(E$4),1),IncDocDate,"&lt;="&amp;E$4,IncAccount,$A11)-SUMIFS(ExpExcl,ExpDocDate,"&gt;="&amp;DATE(YEAR(E$4),MONTH(E$4),1),ExpDocDate,"&lt;="&amp;E$4,ExpAccount,$A11))</f>
        <v>0</v>
      </c>
      <c r="F11" s="34" cm="1">
        <f t="array" aca="1" ref="F11" ca="1">IF(RIGHT($A11,1)="G",SUMIFS(IncExcl,IncDocDate,"&gt;="&amp;DATE(YEAR(F$4),MONTH(F$4),1),IncDocDate,"&lt;="&amp;F$4,IncAccount,LEFT($A11,5)&amp;"*")-SUMIFS(ExpExcl,ExpDocDate,"&gt;="&amp;DATE(YEAR(F$4),MONTH(F$4),1),ExpDocDate,"&lt;="&amp;F$4,ExpAccount,LEFT($A11,5)&amp;"*"),SUMIFS(IncExcl,IncDocDate,"&gt;="&amp;DATE(YEAR(F$4),MONTH(F$4),1),IncDocDate,"&lt;="&amp;F$4,IncAccount,$A11)-SUMIFS(ExpExcl,ExpDocDate,"&gt;="&amp;DATE(YEAR(F$4),MONTH(F$4),1),ExpDocDate,"&lt;="&amp;F$4,ExpAccount,$A11))</f>
        <v>0</v>
      </c>
      <c r="G11" s="34" cm="1">
        <f t="array" aca="1" ref="G11" ca="1">IF(RIGHT($A11,1)="G",SUMIFS(IncExcl,IncDocDate,"&gt;="&amp;DATE(YEAR(G$4),MONTH(G$4),1),IncDocDate,"&lt;="&amp;G$4,IncAccount,LEFT($A11,5)&amp;"*")-SUMIFS(ExpExcl,ExpDocDate,"&gt;="&amp;DATE(YEAR(G$4),MONTH(G$4),1),ExpDocDate,"&lt;="&amp;G$4,ExpAccount,LEFT($A11,5)&amp;"*"),SUMIFS(IncExcl,IncDocDate,"&gt;="&amp;DATE(YEAR(G$4),MONTH(G$4),1),IncDocDate,"&lt;="&amp;G$4,IncAccount,$A11)-SUMIFS(ExpExcl,ExpDocDate,"&gt;="&amp;DATE(YEAR(G$4),MONTH(G$4),1),ExpDocDate,"&lt;="&amp;G$4,ExpAccount,$A11))</f>
        <v>0</v>
      </c>
      <c r="H11" s="34" cm="1">
        <f t="array" aca="1" ref="H11" ca="1">IF(RIGHT($A11,1)="G",SUMIFS(IncExcl,IncDocDate,"&gt;="&amp;DATE(YEAR(H$4),MONTH(H$4),1),IncDocDate,"&lt;="&amp;H$4,IncAccount,LEFT($A11,5)&amp;"*")-SUMIFS(ExpExcl,ExpDocDate,"&gt;="&amp;DATE(YEAR(H$4),MONTH(H$4),1),ExpDocDate,"&lt;="&amp;H$4,ExpAccount,LEFT($A11,5)&amp;"*"),SUMIFS(IncExcl,IncDocDate,"&gt;="&amp;DATE(YEAR(H$4),MONTH(H$4),1),IncDocDate,"&lt;="&amp;H$4,IncAccount,$A11)-SUMIFS(ExpExcl,ExpDocDate,"&gt;="&amp;DATE(YEAR(H$4),MONTH(H$4),1),ExpDocDate,"&lt;="&amp;H$4,ExpAccount,$A11))</f>
        <v>0</v>
      </c>
      <c r="I11" s="34" cm="1">
        <f t="array" aca="1" ref="I11" ca="1">IF(RIGHT($A11,1)="G",SUMIFS(IncExcl,IncDocDate,"&gt;="&amp;DATE(YEAR(I$4),MONTH(I$4),1),IncDocDate,"&lt;="&amp;I$4,IncAccount,LEFT($A11,5)&amp;"*")-SUMIFS(ExpExcl,ExpDocDate,"&gt;="&amp;DATE(YEAR(I$4),MONTH(I$4),1),ExpDocDate,"&lt;="&amp;I$4,ExpAccount,LEFT($A11,5)&amp;"*"),SUMIFS(IncExcl,IncDocDate,"&gt;="&amp;DATE(YEAR(I$4),MONTH(I$4),1),IncDocDate,"&lt;="&amp;I$4,IncAccount,$A11)-SUMIFS(ExpExcl,ExpDocDate,"&gt;="&amp;DATE(YEAR(I$4),MONTH(I$4),1),ExpDocDate,"&lt;="&amp;I$4,ExpAccount,$A11))</f>
        <v>0</v>
      </c>
      <c r="J11" s="34" cm="1">
        <f t="array" aca="1" ref="J11" ca="1">IF(RIGHT($A11,1)="G",SUMIFS(IncExcl,IncDocDate,"&gt;="&amp;DATE(YEAR(J$4),MONTH(J$4),1),IncDocDate,"&lt;="&amp;J$4,IncAccount,LEFT($A11,5)&amp;"*")-SUMIFS(ExpExcl,ExpDocDate,"&gt;="&amp;DATE(YEAR(J$4),MONTH(J$4),1),ExpDocDate,"&lt;="&amp;J$4,ExpAccount,LEFT($A11,5)&amp;"*"),SUMIFS(IncExcl,IncDocDate,"&gt;="&amp;DATE(YEAR(J$4),MONTH(J$4),1),IncDocDate,"&lt;="&amp;J$4,IncAccount,$A11)-SUMIFS(ExpExcl,ExpDocDate,"&gt;="&amp;DATE(YEAR(J$4),MONTH(J$4),1),ExpDocDate,"&lt;="&amp;J$4,ExpAccount,$A11))</f>
        <v>0</v>
      </c>
      <c r="K11" s="34" cm="1">
        <f t="array" aca="1" ref="K11" ca="1">IF(RIGHT($A11,1)="G",SUMIFS(IncExcl,IncDocDate,"&gt;="&amp;DATE(YEAR(K$4),MONTH(K$4),1),IncDocDate,"&lt;="&amp;K$4,IncAccount,LEFT($A11,5)&amp;"*")-SUMIFS(ExpExcl,ExpDocDate,"&gt;="&amp;DATE(YEAR(K$4),MONTH(K$4),1),ExpDocDate,"&lt;="&amp;K$4,ExpAccount,LEFT($A11,5)&amp;"*"),SUMIFS(IncExcl,IncDocDate,"&gt;="&amp;DATE(YEAR(K$4),MONTH(K$4),1),IncDocDate,"&lt;="&amp;K$4,IncAccount,$A11)-SUMIFS(ExpExcl,ExpDocDate,"&gt;="&amp;DATE(YEAR(K$4),MONTH(K$4),1),ExpDocDate,"&lt;="&amp;K$4,ExpAccount,$A11))</f>
        <v>0</v>
      </c>
      <c r="L11" s="34" cm="1">
        <f t="array" aca="1" ref="L11" ca="1">IF(RIGHT($A11,1)="G",SUMIFS(IncExcl,IncDocDate,"&gt;="&amp;DATE(YEAR(L$4),MONTH(L$4),1),IncDocDate,"&lt;="&amp;L$4,IncAccount,LEFT($A11,5)&amp;"*")-SUMIFS(ExpExcl,ExpDocDate,"&gt;="&amp;DATE(YEAR(L$4),MONTH(L$4),1),ExpDocDate,"&lt;="&amp;L$4,ExpAccount,LEFT($A11,5)&amp;"*"),SUMIFS(IncExcl,IncDocDate,"&gt;="&amp;DATE(YEAR(L$4),MONTH(L$4),1),IncDocDate,"&lt;="&amp;L$4,IncAccount,$A11)-SUMIFS(ExpExcl,ExpDocDate,"&gt;="&amp;DATE(YEAR(L$4),MONTH(L$4),1),ExpDocDate,"&lt;="&amp;L$4,ExpAccount,$A11))</f>
        <v>0</v>
      </c>
      <c r="M11" s="34" cm="1">
        <f t="array" aca="1" ref="M11" ca="1">IF(RIGHT($A11,1)="G",SUMIFS(IncExcl,IncDocDate,"&gt;="&amp;DATE(YEAR(M$4),MONTH(M$4),1),IncDocDate,"&lt;="&amp;M$4,IncAccount,LEFT($A11,5)&amp;"*")-SUMIFS(ExpExcl,ExpDocDate,"&gt;="&amp;DATE(YEAR(M$4),MONTH(M$4),1),ExpDocDate,"&lt;="&amp;M$4,ExpAccount,LEFT($A11,5)&amp;"*"),SUMIFS(IncExcl,IncDocDate,"&gt;="&amp;DATE(YEAR(M$4),MONTH(M$4),1),IncDocDate,"&lt;="&amp;M$4,IncAccount,$A11)-SUMIFS(ExpExcl,ExpDocDate,"&gt;="&amp;DATE(YEAR(M$4),MONTH(M$4),1),ExpDocDate,"&lt;="&amp;M$4,ExpAccount,$A11))</f>
        <v>0</v>
      </c>
      <c r="N11" s="34" cm="1">
        <f t="array" aca="1" ref="N11" ca="1">IF(RIGHT($A11,1)="G",SUMIFS(IncExcl,IncDocDate,"&gt;="&amp;DATE(YEAR(N$4),MONTH(N$4),1),IncDocDate,"&lt;="&amp;N$4,IncAccount,LEFT($A11,5)&amp;"*")-SUMIFS(ExpExcl,ExpDocDate,"&gt;="&amp;DATE(YEAR(N$4),MONTH(N$4),1),ExpDocDate,"&lt;="&amp;N$4,ExpAccount,LEFT($A11,5)&amp;"*"),SUMIFS(IncExcl,IncDocDate,"&gt;="&amp;DATE(YEAR(N$4),MONTH(N$4),1),IncDocDate,"&lt;="&amp;N$4,IncAccount,$A11)-SUMIFS(ExpExcl,ExpDocDate,"&gt;="&amp;DATE(YEAR(N$4),MONTH(N$4),1),ExpDocDate,"&lt;="&amp;N$4,ExpAccount,$A11))</f>
        <v>0</v>
      </c>
      <c r="O11" s="188">
        <f ca="1">SUM(C11:N11)</f>
        <v>0</v>
      </c>
      <c r="P11" s="188" cm="1">
        <f t="array" aca="1" ref="P11" ca="1">IF(RIGHT($A11,1)="G",SUMIFS(IncExcl,IncDocDate,"&gt;="&amp;$P$2,IncDocDate,"&lt;="&amp;$P$3,IncAccount,LEFT($A11,5)&amp;"*")-SUMIFS(ExpExcl,ExpDocDate,"&gt;="&amp;$P$2,ExpDocDate,"&lt;="&amp;$P$3,ExpAccount,LEFT($A11,5)&amp;"*"),SUMIFS(IncExcl,IncDocDate,"&gt;="&amp;$P$2,IncDocDate,"&lt;="&amp;$P$3,IncAccount,$A11)-SUMIFS(ExpExcl,ExpDocDate,"&gt;="&amp;$P$2,ExpDocDate,"&lt;="&amp;$P$3,ExpAccount,$A11))</f>
        <v>0</v>
      </c>
    </row>
    <row r="12" spans="1:16" ht="15.95" customHeight="1" x14ac:dyDescent="0.3">
      <c r="B12" s="3" t="s">
        <v>230</v>
      </c>
      <c r="F12" s="34"/>
      <c r="G12" s="34"/>
      <c r="H12" s="34"/>
    </row>
    <row r="13" spans="1:16" ht="15.95" customHeight="1" x14ac:dyDescent="0.3">
      <c r="A13" s="277" t="s">
        <v>183</v>
      </c>
      <c r="B13" s="12" t="str">
        <f ca="1">IF(RIGHT($A13,1)="G",IF(ISNA(VLOOKUP(LEFT($A13,LEN($A13)-1),GroupAll,COLUMN(Groups!$B$4),0)),"Group Not Found",VLOOKUP(LEFT($A13,LEN($A13)-1),GroupAll,COLUMN(Groups!$B$4),0)),IF(ISNA(VLOOKUP($A13,AccountAll,COLUMN(TB!$B$4),0)),"Account Not Found",VLOOKUP($A13,AccountAll,COLUMN(TB!$B$4),0)))</f>
        <v>Commission Received</v>
      </c>
      <c r="C13" s="34" cm="1">
        <f t="array" aca="1" ref="C13" ca="1">IF(RIGHT($A13,1)="G",-SUMIFS(IncExcl,IncDocDate,"&gt;="&amp;DATE(YEAR(C$4),MONTH(C$4),1),IncDocDate,"&lt;="&amp;C$4,IncAccount,LEFT($A13,5)&amp;"*")+SUMIFS(ExpExcl,ExpDocDate,"&gt;="&amp;DATE(YEAR(C$4),MONTH(C$4),1),ExpDocDate,"&lt;="&amp;C$4,ExpAccount,LEFT($A13,5)&amp;"*"),-SUMIFS(IncExcl,IncDocDate,"&gt;="&amp;DATE(YEAR(C$4),MONTH(C$4),1),IncDocDate,"&lt;="&amp;C$4,IncAccount,$A13)+SUMIFS(ExpExcl,ExpDocDate,"&gt;="&amp;DATE(YEAR(C$4),MONTH(C$4),1),ExpDocDate,"&lt;="&amp;C$4,ExpAccount,$A13))</f>
        <v>0</v>
      </c>
      <c r="D13" s="34" cm="1">
        <f t="array" aca="1" ref="D13" ca="1">IF(RIGHT($A13,1)="G",-SUMIFS(IncExcl,IncDocDate,"&gt;="&amp;DATE(YEAR(D$4),MONTH(D$4),1),IncDocDate,"&lt;="&amp;D$4,IncAccount,LEFT($A13,5)&amp;"*")+SUMIFS(ExpExcl,ExpDocDate,"&gt;="&amp;DATE(YEAR(D$4),MONTH(D$4),1),ExpDocDate,"&lt;="&amp;D$4,ExpAccount,LEFT($A13,5)&amp;"*"),-SUMIFS(IncExcl,IncDocDate,"&gt;="&amp;DATE(YEAR(D$4),MONTH(D$4),1),IncDocDate,"&lt;="&amp;D$4,IncAccount,$A13)+SUMIFS(ExpExcl,ExpDocDate,"&gt;="&amp;DATE(YEAR(D$4),MONTH(D$4),1),ExpDocDate,"&lt;="&amp;D$4,ExpAccount,$A13))</f>
        <v>0</v>
      </c>
      <c r="E13" s="34" cm="1">
        <f t="array" aca="1" ref="E13" ca="1">IF(RIGHT($A13,1)="G",-SUMIFS(IncExcl,IncDocDate,"&gt;="&amp;DATE(YEAR(E$4),MONTH(E$4),1),IncDocDate,"&lt;="&amp;E$4,IncAccount,LEFT($A13,5)&amp;"*")+SUMIFS(ExpExcl,ExpDocDate,"&gt;="&amp;DATE(YEAR(E$4),MONTH(E$4),1),ExpDocDate,"&lt;="&amp;E$4,ExpAccount,LEFT($A13,5)&amp;"*"),-SUMIFS(IncExcl,IncDocDate,"&gt;="&amp;DATE(YEAR(E$4),MONTH(E$4),1),IncDocDate,"&lt;="&amp;E$4,IncAccount,$A13)+SUMIFS(ExpExcl,ExpDocDate,"&gt;="&amp;DATE(YEAR(E$4),MONTH(E$4),1),ExpDocDate,"&lt;="&amp;E$4,ExpAccount,$A13))</f>
        <v>0</v>
      </c>
      <c r="F13" s="34" cm="1">
        <f t="array" aca="1" ref="F13" ca="1">IF(RIGHT($A13,1)="G",-SUMIFS(IncExcl,IncDocDate,"&gt;="&amp;DATE(YEAR(F$4),MONTH(F$4),1),IncDocDate,"&lt;="&amp;F$4,IncAccount,LEFT($A13,5)&amp;"*")+SUMIFS(ExpExcl,ExpDocDate,"&gt;="&amp;DATE(YEAR(F$4),MONTH(F$4),1),ExpDocDate,"&lt;="&amp;F$4,ExpAccount,LEFT($A13,5)&amp;"*"),-SUMIFS(IncExcl,IncDocDate,"&gt;="&amp;DATE(YEAR(F$4),MONTH(F$4),1),IncDocDate,"&lt;="&amp;F$4,IncAccount,$A13)+SUMIFS(ExpExcl,ExpDocDate,"&gt;="&amp;DATE(YEAR(F$4),MONTH(F$4),1),ExpDocDate,"&lt;="&amp;F$4,ExpAccount,$A13))</f>
        <v>0</v>
      </c>
      <c r="G13" s="34" cm="1">
        <f t="array" aca="1" ref="G13" ca="1">IF(RIGHT($A13,1)="G",-SUMIFS(IncExcl,IncDocDate,"&gt;="&amp;DATE(YEAR(G$4),MONTH(G$4),1),IncDocDate,"&lt;="&amp;G$4,IncAccount,LEFT($A13,5)&amp;"*")+SUMIFS(ExpExcl,ExpDocDate,"&gt;="&amp;DATE(YEAR(G$4),MONTH(G$4),1),ExpDocDate,"&lt;="&amp;G$4,ExpAccount,LEFT($A13,5)&amp;"*"),-SUMIFS(IncExcl,IncDocDate,"&gt;="&amp;DATE(YEAR(G$4),MONTH(G$4),1),IncDocDate,"&lt;="&amp;G$4,IncAccount,$A13)+SUMIFS(ExpExcl,ExpDocDate,"&gt;="&amp;DATE(YEAR(G$4),MONTH(G$4),1),ExpDocDate,"&lt;="&amp;G$4,ExpAccount,$A13))</f>
        <v>0</v>
      </c>
      <c r="H13" s="34" cm="1">
        <f t="array" aca="1" ref="H13" ca="1">IF(RIGHT($A13,1)="G",-SUMIFS(IncExcl,IncDocDate,"&gt;="&amp;DATE(YEAR(H$4),MONTH(H$4),1),IncDocDate,"&lt;="&amp;H$4,IncAccount,LEFT($A13,5)&amp;"*")+SUMIFS(ExpExcl,ExpDocDate,"&gt;="&amp;DATE(YEAR(H$4),MONTH(H$4),1),ExpDocDate,"&lt;="&amp;H$4,ExpAccount,LEFT($A13,5)&amp;"*"),-SUMIFS(IncExcl,IncDocDate,"&gt;="&amp;DATE(YEAR(H$4),MONTH(H$4),1),IncDocDate,"&lt;="&amp;H$4,IncAccount,$A13)+SUMIFS(ExpExcl,ExpDocDate,"&gt;="&amp;DATE(YEAR(H$4),MONTH(H$4),1),ExpDocDate,"&lt;="&amp;H$4,ExpAccount,$A13))</f>
        <v>0</v>
      </c>
      <c r="I13" s="34" cm="1">
        <f t="array" aca="1" ref="I13" ca="1">IF(RIGHT($A13,1)="G",-SUMIFS(IncExcl,IncDocDate,"&gt;="&amp;DATE(YEAR(I$4),MONTH(I$4),1),IncDocDate,"&lt;="&amp;I$4,IncAccount,LEFT($A13,5)&amp;"*")+SUMIFS(ExpExcl,ExpDocDate,"&gt;="&amp;DATE(YEAR(I$4),MONTH(I$4),1),ExpDocDate,"&lt;="&amp;I$4,ExpAccount,LEFT($A13,5)&amp;"*"),-SUMIFS(IncExcl,IncDocDate,"&gt;="&amp;DATE(YEAR(I$4),MONTH(I$4),1),IncDocDate,"&lt;="&amp;I$4,IncAccount,$A13)+SUMIFS(ExpExcl,ExpDocDate,"&gt;="&amp;DATE(YEAR(I$4),MONTH(I$4),1),ExpDocDate,"&lt;="&amp;I$4,ExpAccount,$A13))</f>
        <v>0</v>
      </c>
      <c r="J13" s="34" cm="1">
        <f t="array" aca="1" ref="J13" ca="1">IF(RIGHT($A13,1)="G",-SUMIFS(IncExcl,IncDocDate,"&gt;="&amp;DATE(YEAR(J$4),MONTH(J$4),1),IncDocDate,"&lt;="&amp;J$4,IncAccount,LEFT($A13,5)&amp;"*")+SUMIFS(ExpExcl,ExpDocDate,"&gt;="&amp;DATE(YEAR(J$4),MONTH(J$4),1),ExpDocDate,"&lt;="&amp;J$4,ExpAccount,LEFT($A13,5)&amp;"*"),-SUMIFS(IncExcl,IncDocDate,"&gt;="&amp;DATE(YEAR(J$4),MONTH(J$4),1),IncDocDate,"&lt;="&amp;J$4,IncAccount,$A13)+SUMIFS(ExpExcl,ExpDocDate,"&gt;="&amp;DATE(YEAR(J$4),MONTH(J$4),1),ExpDocDate,"&lt;="&amp;J$4,ExpAccount,$A13))</f>
        <v>0</v>
      </c>
      <c r="K13" s="34" cm="1">
        <f t="array" aca="1" ref="K13" ca="1">IF(RIGHT($A13,1)="G",-SUMIFS(IncExcl,IncDocDate,"&gt;="&amp;DATE(YEAR(K$4),MONTH(K$4),1),IncDocDate,"&lt;="&amp;K$4,IncAccount,LEFT($A13,5)&amp;"*")+SUMIFS(ExpExcl,ExpDocDate,"&gt;="&amp;DATE(YEAR(K$4),MONTH(K$4),1),ExpDocDate,"&lt;="&amp;K$4,ExpAccount,LEFT($A13,5)&amp;"*"),-SUMIFS(IncExcl,IncDocDate,"&gt;="&amp;DATE(YEAR(K$4),MONTH(K$4),1),IncDocDate,"&lt;="&amp;K$4,IncAccount,$A13)+SUMIFS(ExpExcl,ExpDocDate,"&gt;="&amp;DATE(YEAR(K$4),MONTH(K$4),1),ExpDocDate,"&lt;="&amp;K$4,ExpAccount,$A13))</f>
        <v>0</v>
      </c>
      <c r="L13" s="34" cm="1">
        <f t="array" aca="1" ref="L13" ca="1">IF(RIGHT($A13,1)="G",-SUMIFS(IncExcl,IncDocDate,"&gt;="&amp;DATE(YEAR(L$4),MONTH(L$4),1),IncDocDate,"&lt;="&amp;L$4,IncAccount,LEFT($A13,5)&amp;"*")+SUMIFS(ExpExcl,ExpDocDate,"&gt;="&amp;DATE(YEAR(L$4),MONTH(L$4),1),ExpDocDate,"&lt;="&amp;L$4,ExpAccount,LEFT($A13,5)&amp;"*"),-SUMIFS(IncExcl,IncDocDate,"&gt;="&amp;DATE(YEAR(L$4),MONTH(L$4),1),IncDocDate,"&lt;="&amp;L$4,IncAccount,$A13)+SUMIFS(ExpExcl,ExpDocDate,"&gt;="&amp;DATE(YEAR(L$4),MONTH(L$4),1),ExpDocDate,"&lt;="&amp;L$4,ExpAccount,$A13))</f>
        <v>0</v>
      </c>
      <c r="M13" s="34" cm="1">
        <f t="array" aca="1" ref="M13" ca="1">IF(RIGHT($A13,1)="G",-SUMIFS(IncExcl,IncDocDate,"&gt;="&amp;DATE(YEAR(M$4),MONTH(M$4),1),IncDocDate,"&lt;="&amp;M$4,IncAccount,LEFT($A13,5)&amp;"*")+SUMIFS(ExpExcl,ExpDocDate,"&gt;="&amp;DATE(YEAR(M$4),MONTH(M$4),1),ExpDocDate,"&lt;="&amp;M$4,ExpAccount,LEFT($A13,5)&amp;"*"),-SUMIFS(IncExcl,IncDocDate,"&gt;="&amp;DATE(YEAR(M$4),MONTH(M$4),1),IncDocDate,"&lt;="&amp;M$4,IncAccount,$A13)+SUMIFS(ExpExcl,ExpDocDate,"&gt;="&amp;DATE(YEAR(M$4),MONTH(M$4),1),ExpDocDate,"&lt;="&amp;M$4,ExpAccount,$A13))</f>
        <v>0</v>
      </c>
      <c r="N13" s="34" cm="1">
        <f t="array" aca="1" ref="N13" ca="1">IF(RIGHT($A13,1)="G",-SUMIFS(IncExcl,IncDocDate,"&gt;="&amp;DATE(YEAR(N$4),MONTH(N$4),1),IncDocDate,"&lt;="&amp;N$4,IncAccount,LEFT($A13,5)&amp;"*")+SUMIFS(ExpExcl,ExpDocDate,"&gt;="&amp;DATE(YEAR(N$4),MONTH(N$4),1),ExpDocDate,"&lt;="&amp;N$4,ExpAccount,LEFT($A13,5)&amp;"*"),-SUMIFS(IncExcl,IncDocDate,"&gt;="&amp;DATE(YEAR(N$4),MONTH(N$4),1),IncDocDate,"&lt;="&amp;N$4,IncAccount,$A13)+SUMIFS(ExpExcl,ExpDocDate,"&gt;="&amp;DATE(YEAR(N$4),MONTH(N$4),1),ExpDocDate,"&lt;="&amp;N$4,ExpAccount,$A13))</f>
        <v>0</v>
      </c>
      <c r="O13" s="188">
        <f t="shared" ref="O13:O30" ca="1" si="3">SUM(C13:N13)</f>
        <v>0</v>
      </c>
      <c r="P13" s="188" cm="1">
        <f t="array" aca="1" ref="P13" ca="1">IF(RIGHT($A13,1)="G",-SUMIFS(IncExcl,IncDocDate,"&gt;="&amp;$P$2,IncDocDate,"&lt;="&amp;$P$3,IncAccount,LEFT($A13,5)&amp;"*")+SUMIFS(ExpExcl,ExpDocDate,"&gt;="&amp;$P$2,ExpDocDate,"&lt;="&amp;$P$3,ExpAccount,LEFT($A13,5)&amp;"*"),-SUMIFS(IncExcl,IncDocDate,"&gt;="&amp;$P$2,IncDocDate,"&lt;="&amp;$P$3,IncAccount,$A13)+SUMIFS(ExpExcl,ExpDocDate,"&gt;="&amp;$P$2,ExpDocDate,"&lt;="&amp;$P$3,ExpAccount,$A13))</f>
        <v>0</v>
      </c>
    </row>
    <row r="14" spans="1:16" ht="15.95" customHeight="1" x14ac:dyDescent="0.3">
      <c r="A14" s="277" t="s">
        <v>184</v>
      </c>
      <c r="B14" s="12" t="str">
        <f ca="1">IF(RIGHT($A14,1)="G",IF(ISNA(VLOOKUP(LEFT($A14,LEN($A14)-1),GroupAll,COLUMN(Groups!$B$4),0)),"Group Not Found",VLOOKUP(LEFT($A14,LEN($A14)-1),GroupAll,COLUMN(Groups!$B$4),0)),IF(ISNA(VLOOKUP($A14,AccountAll,COLUMN(TB!$B$4),0)),"Account Not Found",VLOOKUP($A14,AccountAll,COLUMN(TB!$B$4),0)))</f>
        <v>Advertising &amp; Marketing</v>
      </c>
      <c r="C14" s="34" cm="1">
        <f t="array" aca="1" ref="C14" ca="1">IF(RIGHT($A14,1)="G",-SUMIFS(IncExcl,IncDocDate,"&gt;="&amp;DATE(YEAR(C$4),MONTH(C$4),1),IncDocDate,"&lt;="&amp;C$4,IncAccount,LEFT($A14,5)&amp;"*")+SUMIFS(ExpExcl,ExpDocDate,"&gt;="&amp;DATE(YEAR(C$4),MONTH(C$4),1),ExpDocDate,"&lt;="&amp;C$4,ExpAccount,LEFT($A14,5)&amp;"*"),-SUMIFS(IncExcl,IncDocDate,"&gt;="&amp;DATE(YEAR(C$4),MONTH(C$4),1),IncDocDate,"&lt;="&amp;C$4,IncAccount,$A14)+SUMIFS(ExpExcl,ExpDocDate,"&gt;="&amp;DATE(YEAR(C$4),MONTH(C$4),1),ExpDocDate,"&lt;="&amp;C$4,ExpAccount,$A14))</f>
        <v>0</v>
      </c>
      <c r="D14" s="34" cm="1">
        <f t="array" aca="1" ref="D14" ca="1">IF(RIGHT($A14,1)="G",-SUMIFS(IncExcl,IncDocDate,"&gt;="&amp;DATE(YEAR(D$4),MONTH(D$4),1),IncDocDate,"&lt;="&amp;D$4,IncAccount,LEFT($A14,5)&amp;"*")+SUMIFS(ExpExcl,ExpDocDate,"&gt;="&amp;DATE(YEAR(D$4),MONTH(D$4),1),ExpDocDate,"&lt;="&amp;D$4,ExpAccount,LEFT($A14,5)&amp;"*"),-SUMIFS(IncExcl,IncDocDate,"&gt;="&amp;DATE(YEAR(D$4),MONTH(D$4),1),IncDocDate,"&lt;="&amp;D$4,IncAccount,$A14)+SUMIFS(ExpExcl,ExpDocDate,"&gt;="&amp;DATE(YEAR(D$4),MONTH(D$4),1),ExpDocDate,"&lt;="&amp;D$4,ExpAccount,$A14))</f>
        <v>0</v>
      </c>
      <c r="E14" s="34" cm="1">
        <f t="array" aca="1" ref="E14" ca="1">IF(RIGHT($A14,1)="G",-SUMIFS(IncExcl,IncDocDate,"&gt;="&amp;DATE(YEAR(E$4),MONTH(E$4),1),IncDocDate,"&lt;="&amp;E$4,IncAccount,LEFT($A14,5)&amp;"*")+SUMIFS(ExpExcl,ExpDocDate,"&gt;="&amp;DATE(YEAR(E$4),MONTH(E$4),1),ExpDocDate,"&lt;="&amp;E$4,ExpAccount,LEFT($A14,5)&amp;"*"),-SUMIFS(IncExcl,IncDocDate,"&gt;="&amp;DATE(YEAR(E$4),MONTH(E$4),1),IncDocDate,"&lt;="&amp;E$4,IncAccount,$A14)+SUMIFS(ExpExcl,ExpDocDate,"&gt;="&amp;DATE(YEAR(E$4),MONTH(E$4),1),ExpDocDate,"&lt;="&amp;E$4,ExpAccount,$A14))</f>
        <v>0</v>
      </c>
      <c r="F14" s="34" cm="1">
        <f t="array" aca="1" ref="F14" ca="1">IF(RIGHT($A14,1)="G",-SUMIFS(IncExcl,IncDocDate,"&gt;="&amp;DATE(YEAR(F$4),MONTH(F$4),1),IncDocDate,"&lt;="&amp;F$4,IncAccount,LEFT($A14,5)&amp;"*")+SUMIFS(ExpExcl,ExpDocDate,"&gt;="&amp;DATE(YEAR(F$4),MONTH(F$4),1),ExpDocDate,"&lt;="&amp;F$4,ExpAccount,LEFT($A14,5)&amp;"*"),-SUMIFS(IncExcl,IncDocDate,"&gt;="&amp;DATE(YEAR(F$4),MONTH(F$4),1),IncDocDate,"&lt;="&amp;F$4,IncAccount,$A14)+SUMIFS(ExpExcl,ExpDocDate,"&gt;="&amp;DATE(YEAR(F$4),MONTH(F$4),1),ExpDocDate,"&lt;="&amp;F$4,ExpAccount,$A14))</f>
        <v>0</v>
      </c>
      <c r="G14" s="34" cm="1">
        <f t="array" aca="1" ref="G14" ca="1">IF(RIGHT($A14,1)="G",-SUMIFS(IncExcl,IncDocDate,"&gt;="&amp;DATE(YEAR(G$4),MONTH(G$4),1),IncDocDate,"&lt;="&amp;G$4,IncAccount,LEFT($A14,5)&amp;"*")+SUMIFS(ExpExcl,ExpDocDate,"&gt;="&amp;DATE(YEAR(G$4),MONTH(G$4),1),ExpDocDate,"&lt;="&amp;G$4,ExpAccount,LEFT($A14,5)&amp;"*"),-SUMIFS(IncExcl,IncDocDate,"&gt;="&amp;DATE(YEAR(G$4),MONTH(G$4),1),IncDocDate,"&lt;="&amp;G$4,IncAccount,$A14)+SUMIFS(ExpExcl,ExpDocDate,"&gt;="&amp;DATE(YEAR(G$4),MONTH(G$4),1),ExpDocDate,"&lt;="&amp;G$4,ExpAccount,$A14))</f>
        <v>0</v>
      </c>
      <c r="H14" s="34" cm="1">
        <f t="array" aca="1" ref="H14" ca="1">IF(RIGHT($A14,1)="G",-SUMIFS(IncExcl,IncDocDate,"&gt;="&amp;DATE(YEAR(H$4),MONTH(H$4),1),IncDocDate,"&lt;="&amp;H$4,IncAccount,LEFT($A14,5)&amp;"*")+SUMIFS(ExpExcl,ExpDocDate,"&gt;="&amp;DATE(YEAR(H$4),MONTH(H$4),1),ExpDocDate,"&lt;="&amp;H$4,ExpAccount,LEFT($A14,5)&amp;"*"),-SUMIFS(IncExcl,IncDocDate,"&gt;="&amp;DATE(YEAR(H$4),MONTH(H$4),1),IncDocDate,"&lt;="&amp;H$4,IncAccount,$A14)+SUMIFS(ExpExcl,ExpDocDate,"&gt;="&amp;DATE(YEAR(H$4),MONTH(H$4),1),ExpDocDate,"&lt;="&amp;H$4,ExpAccount,$A14))</f>
        <v>0</v>
      </c>
      <c r="I14" s="34" cm="1">
        <f t="array" aca="1" ref="I14" ca="1">IF(RIGHT($A14,1)="G",-SUMIFS(IncExcl,IncDocDate,"&gt;="&amp;DATE(YEAR(I$4),MONTH(I$4),1),IncDocDate,"&lt;="&amp;I$4,IncAccount,LEFT($A14,5)&amp;"*")+SUMIFS(ExpExcl,ExpDocDate,"&gt;="&amp;DATE(YEAR(I$4),MONTH(I$4),1),ExpDocDate,"&lt;="&amp;I$4,ExpAccount,LEFT($A14,5)&amp;"*"),-SUMIFS(IncExcl,IncDocDate,"&gt;="&amp;DATE(YEAR(I$4),MONTH(I$4),1),IncDocDate,"&lt;="&amp;I$4,IncAccount,$A14)+SUMIFS(ExpExcl,ExpDocDate,"&gt;="&amp;DATE(YEAR(I$4),MONTH(I$4),1),ExpDocDate,"&lt;="&amp;I$4,ExpAccount,$A14))</f>
        <v>0</v>
      </c>
      <c r="J14" s="34" cm="1">
        <f t="array" aca="1" ref="J14" ca="1">IF(RIGHT($A14,1)="G",-SUMIFS(IncExcl,IncDocDate,"&gt;="&amp;DATE(YEAR(J$4),MONTH(J$4),1),IncDocDate,"&lt;="&amp;J$4,IncAccount,LEFT($A14,5)&amp;"*")+SUMIFS(ExpExcl,ExpDocDate,"&gt;="&amp;DATE(YEAR(J$4),MONTH(J$4),1),ExpDocDate,"&lt;="&amp;J$4,ExpAccount,LEFT($A14,5)&amp;"*"),-SUMIFS(IncExcl,IncDocDate,"&gt;="&amp;DATE(YEAR(J$4),MONTH(J$4),1),IncDocDate,"&lt;="&amp;J$4,IncAccount,$A14)+SUMIFS(ExpExcl,ExpDocDate,"&gt;="&amp;DATE(YEAR(J$4),MONTH(J$4),1),ExpDocDate,"&lt;="&amp;J$4,ExpAccount,$A14))</f>
        <v>0</v>
      </c>
      <c r="K14" s="34" cm="1">
        <f t="array" aca="1" ref="K14" ca="1">IF(RIGHT($A14,1)="G",-SUMIFS(IncExcl,IncDocDate,"&gt;="&amp;DATE(YEAR(K$4),MONTH(K$4),1),IncDocDate,"&lt;="&amp;K$4,IncAccount,LEFT($A14,5)&amp;"*")+SUMIFS(ExpExcl,ExpDocDate,"&gt;="&amp;DATE(YEAR(K$4),MONTH(K$4),1),ExpDocDate,"&lt;="&amp;K$4,ExpAccount,LEFT($A14,5)&amp;"*"),-SUMIFS(IncExcl,IncDocDate,"&gt;="&amp;DATE(YEAR(K$4),MONTH(K$4),1),IncDocDate,"&lt;="&amp;K$4,IncAccount,$A14)+SUMIFS(ExpExcl,ExpDocDate,"&gt;="&amp;DATE(YEAR(K$4),MONTH(K$4),1),ExpDocDate,"&lt;="&amp;K$4,ExpAccount,$A14))</f>
        <v>0</v>
      </c>
      <c r="L14" s="34" cm="1">
        <f t="array" aca="1" ref="L14" ca="1">IF(RIGHT($A14,1)="G",-SUMIFS(IncExcl,IncDocDate,"&gt;="&amp;DATE(YEAR(L$4),MONTH(L$4),1),IncDocDate,"&lt;="&amp;L$4,IncAccount,LEFT($A14,5)&amp;"*")+SUMIFS(ExpExcl,ExpDocDate,"&gt;="&amp;DATE(YEAR(L$4),MONTH(L$4),1),ExpDocDate,"&lt;="&amp;L$4,ExpAccount,LEFT($A14,5)&amp;"*"),-SUMIFS(IncExcl,IncDocDate,"&gt;="&amp;DATE(YEAR(L$4),MONTH(L$4),1),IncDocDate,"&lt;="&amp;L$4,IncAccount,$A14)+SUMIFS(ExpExcl,ExpDocDate,"&gt;="&amp;DATE(YEAR(L$4),MONTH(L$4),1),ExpDocDate,"&lt;="&amp;L$4,ExpAccount,$A14))</f>
        <v>0</v>
      </c>
      <c r="M14" s="34" cm="1">
        <f t="array" aca="1" ref="M14" ca="1">IF(RIGHT($A14,1)="G",-SUMIFS(IncExcl,IncDocDate,"&gt;="&amp;DATE(YEAR(M$4),MONTH(M$4),1),IncDocDate,"&lt;="&amp;M$4,IncAccount,LEFT($A14,5)&amp;"*")+SUMIFS(ExpExcl,ExpDocDate,"&gt;="&amp;DATE(YEAR(M$4),MONTH(M$4),1),ExpDocDate,"&lt;="&amp;M$4,ExpAccount,LEFT($A14,5)&amp;"*"),-SUMIFS(IncExcl,IncDocDate,"&gt;="&amp;DATE(YEAR(M$4),MONTH(M$4),1),IncDocDate,"&lt;="&amp;M$4,IncAccount,$A14)+SUMIFS(ExpExcl,ExpDocDate,"&gt;="&amp;DATE(YEAR(M$4),MONTH(M$4),1),ExpDocDate,"&lt;="&amp;M$4,ExpAccount,$A14))</f>
        <v>0</v>
      </c>
      <c r="N14" s="34" cm="1">
        <f t="array" aca="1" ref="N14" ca="1">IF(RIGHT($A14,1)="G",-SUMIFS(IncExcl,IncDocDate,"&gt;="&amp;DATE(YEAR(N$4),MONTH(N$4),1),IncDocDate,"&lt;="&amp;N$4,IncAccount,LEFT($A14,5)&amp;"*")+SUMIFS(ExpExcl,ExpDocDate,"&gt;="&amp;DATE(YEAR(N$4),MONTH(N$4),1),ExpDocDate,"&lt;="&amp;N$4,ExpAccount,LEFT($A14,5)&amp;"*"),-SUMIFS(IncExcl,IncDocDate,"&gt;="&amp;DATE(YEAR(N$4),MONTH(N$4),1),IncDocDate,"&lt;="&amp;N$4,IncAccount,$A14)+SUMIFS(ExpExcl,ExpDocDate,"&gt;="&amp;DATE(YEAR(N$4),MONTH(N$4),1),ExpDocDate,"&lt;="&amp;N$4,ExpAccount,$A14))</f>
        <v>0</v>
      </c>
      <c r="O14" s="188">
        <f t="shared" ca="1" si="3"/>
        <v>0</v>
      </c>
      <c r="P14" s="188" cm="1">
        <f t="array" aca="1" ref="P14" ca="1">IF(RIGHT($A14,1)="G",-SUMIFS(IncExcl,IncDocDate,"&gt;="&amp;$P$2,IncDocDate,"&lt;="&amp;$P$3,IncAccount,LEFT($A14,5)&amp;"*")+SUMIFS(ExpExcl,ExpDocDate,"&gt;="&amp;$P$2,ExpDocDate,"&lt;="&amp;$P$3,ExpAccount,LEFT($A14,5)&amp;"*"),-SUMIFS(IncExcl,IncDocDate,"&gt;="&amp;$P$2,IncDocDate,"&lt;="&amp;$P$3,IncAccount,$A14)+SUMIFS(ExpExcl,ExpDocDate,"&gt;="&amp;$P$2,ExpDocDate,"&lt;="&amp;$P$3,ExpAccount,$A14))</f>
        <v>0</v>
      </c>
    </row>
    <row r="15" spans="1:16" ht="15.95" customHeight="1" x14ac:dyDescent="0.3">
      <c r="A15" s="277" t="s">
        <v>185</v>
      </c>
      <c r="B15" s="12" t="str">
        <f ca="1">IF(RIGHT($A15,1)="G",IF(ISNA(VLOOKUP(LEFT($A15,LEN($A15)-1),GroupAll,COLUMN(Groups!$B$4),0)),"Group Not Found",VLOOKUP(LEFT($A15,LEN($A15)-1),GroupAll,COLUMN(Groups!$B$4),0)),IF(ISNA(VLOOKUP($A15,AccountAll,COLUMN(TB!$B$4),0)),"Account Not Found",VLOOKUP($A15,AccountAll,COLUMN(TB!$B$4),0)))</f>
        <v>Bank Charges</v>
      </c>
      <c r="C15" s="34" cm="1">
        <f t="array" aca="1" ref="C15" ca="1">IF(RIGHT($A15,1)="G",-SUMIFS(IncExcl,IncDocDate,"&gt;="&amp;DATE(YEAR(C$4),MONTH(C$4),1),IncDocDate,"&lt;="&amp;C$4,IncAccount,LEFT($A15,5)&amp;"*")+SUMIFS(ExpExcl,ExpDocDate,"&gt;="&amp;DATE(YEAR(C$4),MONTH(C$4),1),ExpDocDate,"&lt;="&amp;C$4,ExpAccount,LEFT($A15,5)&amp;"*"),-SUMIFS(IncExcl,IncDocDate,"&gt;="&amp;DATE(YEAR(C$4),MONTH(C$4),1),IncDocDate,"&lt;="&amp;C$4,IncAccount,$A15)+SUMIFS(ExpExcl,ExpDocDate,"&gt;="&amp;DATE(YEAR(C$4),MONTH(C$4),1),ExpDocDate,"&lt;="&amp;C$4,ExpAccount,$A15))</f>
        <v>19340</v>
      </c>
      <c r="D15" s="34" cm="1">
        <f t="array" aca="1" ref="D15" ca="1">IF(RIGHT($A15,1)="G",-SUMIFS(IncExcl,IncDocDate,"&gt;="&amp;DATE(YEAR(D$4),MONTH(D$4),1),IncDocDate,"&lt;="&amp;D$4,IncAccount,LEFT($A15,5)&amp;"*")+SUMIFS(ExpExcl,ExpDocDate,"&gt;="&amp;DATE(YEAR(D$4),MONTH(D$4),1),ExpDocDate,"&lt;="&amp;D$4,ExpAccount,LEFT($A15,5)&amp;"*"),-SUMIFS(IncExcl,IncDocDate,"&gt;="&amp;DATE(YEAR(D$4),MONTH(D$4),1),IncDocDate,"&lt;="&amp;D$4,IncAccount,$A15)+SUMIFS(ExpExcl,ExpDocDate,"&gt;="&amp;DATE(YEAR(D$4),MONTH(D$4),1),ExpDocDate,"&lt;="&amp;D$4,ExpAccount,$A15))</f>
        <v>0</v>
      </c>
      <c r="E15" s="34" cm="1">
        <f t="array" aca="1" ref="E15" ca="1">IF(RIGHT($A15,1)="G",-SUMIFS(IncExcl,IncDocDate,"&gt;="&amp;DATE(YEAR(E$4),MONTH(E$4),1),IncDocDate,"&lt;="&amp;E$4,IncAccount,LEFT($A15,5)&amp;"*")+SUMIFS(ExpExcl,ExpDocDate,"&gt;="&amp;DATE(YEAR(E$4),MONTH(E$4),1),ExpDocDate,"&lt;="&amp;E$4,ExpAccount,LEFT($A15,5)&amp;"*"),-SUMIFS(IncExcl,IncDocDate,"&gt;="&amp;DATE(YEAR(E$4),MONTH(E$4),1),IncDocDate,"&lt;="&amp;E$4,IncAccount,$A15)+SUMIFS(ExpExcl,ExpDocDate,"&gt;="&amp;DATE(YEAR(E$4),MONTH(E$4),1),ExpDocDate,"&lt;="&amp;E$4,ExpAccount,$A15))</f>
        <v>0</v>
      </c>
      <c r="F15" s="34" cm="1">
        <f t="array" aca="1" ref="F15" ca="1">IF(RIGHT($A15,1)="G",-SUMIFS(IncExcl,IncDocDate,"&gt;="&amp;DATE(YEAR(F$4),MONTH(F$4),1),IncDocDate,"&lt;="&amp;F$4,IncAccount,LEFT($A15,5)&amp;"*")+SUMIFS(ExpExcl,ExpDocDate,"&gt;="&amp;DATE(YEAR(F$4),MONTH(F$4),1),ExpDocDate,"&lt;="&amp;F$4,ExpAccount,LEFT($A15,5)&amp;"*"),-SUMIFS(IncExcl,IncDocDate,"&gt;="&amp;DATE(YEAR(F$4),MONTH(F$4),1),IncDocDate,"&lt;="&amp;F$4,IncAccount,$A15)+SUMIFS(ExpExcl,ExpDocDate,"&gt;="&amp;DATE(YEAR(F$4),MONTH(F$4),1),ExpDocDate,"&lt;="&amp;F$4,ExpAccount,$A15))</f>
        <v>0</v>
      </c>
      <c r="G15" s="34" cm="1">
        <f t="array" aca="1" ref="G15" ca="1">IF(RIGHT($A15,1)="G",-SUMIFS(IncExcl,IncDocDate,"&gt;="&amp;DATE(YEAR(G$4),MONTH(G$4),1),IncDocDate,"&lt;="&amp;G$4,IncAccount,LEFT($A15,5)&amp;"*")+SUMIFS(ExpExcl,ExpDocDate,"&gt;="&amp;DATE(YEAR(G$4),MONTH(G$4),1),ExpDocDate,"&lt;="&amp;G$4,ExpAccount,LEFT($A15,5)&amp;"*"),-SUMIFS(IncExcl,IncDocDate,"&gt;="&amp;DATE(YEAR(G$4),MONTH(G$4),1),IncDocDate,"&lt;="&amp;G$4,IncAccount,$A15)+SUMIFS(ExpExcl,ExpDocDate,"&gt;="&amp;DATE(YEAR(G$4),MONTH(G$4),1),ExpDocDate,"&lt;="&amp;G$4,ExpAccount,$A15))</f>
        <v>0</v>
      </c>
      <c r="H15" s="34" cm="1">
        <f t="array" aca="1" ref="H15" ca="1">IF(RIGHT($A15,1)="G",-SUMIFS(IncExcl,IncDocDate,"&gt;="&amp;DATE(YEAR(H$4),MONTH(H$4),1),IncDocDate,"&lt;="&amp;H$4,IncAccount,LEFT($A15,5)&amp;"*")+SUMIFS(ExpExcl,ExpDocDate,"&gt;="&amp;DATE(YEAR(H$4),MONTH(H$4),1),ExpDocDate,"&lt;="&amp;H$4,ExpAccount,LEFT($A15,5)&amp;"*"),-SUMIFS(IncExcl,IncDocDate,"&gt;="&amp;DATE(YEAR(H$4),MONTH(H$4),1),IncDocDate,"&lt;="&amp;H$4,IncAccount,$A15)+SUMIFS(ExpExcl,ExpDocDate,"&gt;="&amp;DATE(YEAR(H$4),MONTH(H$4),1),ExpDocDate,"&lt;="&amp;H$4,ExpAccount,$A15))</f>
        <v>0</v>
      </c>
      <c r="I15" s="34" cm="1">
        <f t="array" aca="1" ref="I15" ca="1">IF(RIGHT($A15,1)="G",-SUMIFS(IncExcl,IncDocDate,"&gt;="&amp;DATE(YEAR(I$4),MONTH(I$4),1),IncDocDate,"&lt;="&amp;I$4,IncAccount,LEFT($A15,5)&amp;"*")+SUMIFS(ExpExcl,ExpDocDate,"&gt;="&amp;DATE(YEAR(I$4),MONTH(I$4),1),ExpDocDate,"&lt;="&amp;I$4,ExpAccount,LEFT($A15,5)&amp;"*"),-SUMIFS(IncExcl,IncDocDate,"&gt;="&amp;DATE(YEAR(I$4),MONTH(I$4),1),IncDocDate,"&lt;="&amp;I$4,IncAccount,$A15)+SUMIFS(ExpExcl,ExpDocDate,"&gt;="&amp;DATE(YEAR(I$4),MONTH(I$4),1),ExpDocDate,"&lt;="&amp;I$4,ExpAccount,$A15))</f>
        <v>0</v>
      </c>
      <c r="J15" s="34" cm="1">
        <f t="array" aca="1" ref="J15" ca="1">IF(RIGHT($A15,1)="G",-SUMIFS(IncExcl,IncDocDate,"&gt;="&amp;DATE(YEAR(J$4),MONTH(J$4),1),IncDocDate,"&lt;="&amp;J$4,IncAccount,LEFT($A15,5)&amp;"*")+SUMIFS(ExpExcl,ExpDocDate,"&gt;="&amp;DATE(YEAR(J$4),MONTH(J$4),1),ExpDocDate,"&lt;="&amp;J$4,ExpAccount,LEFT($A15,5)&amp;"*"),-SUMIFS(IncExcl,IncDocDate,"&gt;="&amp;DATE(YEAR(J$4),MONTH(J$4),1),IncDocDate,"&lt;="&amp;J$4,IncAccount,$A15)+SUMIFS(ExpExcl,ExpDocDate,"&gt;="&amp;DATE(YEAR(J$4),MONTH(J$4),1),ExpDocDate,"&lt;="&amp;J$4,ExpAccount,$A15))</f>
        <v>0</v>
      </c>
      <c r="K15" s="34" cm="1">
        <f t="array" aca="1" ref="K15" ca="1">IF(RIGHT($A15,1)="G",-SUMIFS(IncExcl,IncDocDate,"&gt;="&amp;DATE(YEAR(K$4),MONTH(K$4),1),IncDocDate,"&lt;="&amp;K$4,IncAccount,LEFT($A15,5)&amp;"*")+SUMIFS(ExpExcl,ExpDocDate,"&gt;="&amp;DATE(YEAR(K$4),MONTH(K$4),1),ExpDocDate,"&lt;="&amp;K$4,ExpAccount,LEFT($A15,5)&amp;"*"),-SUMIFS(IncExcl,IncDocDate,"&gt;="&amp;DATE(YEAR(K$4),MONTH(K$4),1),IncDocDate,"&lt;="&amp;K$4,IncAccount,$A15)+SUMIFS(ExpExcl,ExpDocDate,"&gt;="&amp;DATE(YEAR(K$4),MONTH(K$4),1),ExpDocDate,"&lt;="&amp;K$4,ExpAccount,$A15))</f>
        <v>0</v>
      </c>
      <c r="L15" s="34" cm="1">
        <f t="array" aca="1" ref="L15" ca="1">IF(RIGHT($A15,1)="G",-SUMIFS(IncExcl,IncDocDate,"&gt;="&amp;DATE(YEAR(L$4),MONTH(L$4),1),IncDocDate,"&lt;="&amp;L$4,IncAccount,LEFT($A15,5)&amp;"*")+SUMIFS(ExpExcl,ExpDocDate,"&gt;="&amp;DATE(YEAR(L$4),MONTH(L$4),1),ExpDocDate,"&lt;="&amp;L$4,ExpAccount,LEFT($A15,5)&amp;"*"),-SUMIFS(IncExcl,IncDocDate,"&gt;="&amp;DATE(YEAR(L$4),MONTH(L$4),1),IncDocDate,"&lt;="&amp;L$4,IncAccount,$A15)+SUMIFS(ExpExcl,ExpDocDate,"&gt;="&amp;DATE(YEAR(L$4),MONTH(L$4),1),ExpDocDate,"&lt;="&amp;L$4,ExpAccount,$A15))</f>
        <v>0</v>
      </c>
      <c r="M15" s="34" cm="1">
        <f t="array" aca="1" ref="M15" ca="1">IF(RIGHT($A15,1)="G",-SUMIFS(IncExcl,IncDocDate,"&gt;="&amp;DATE(YEAR(M$4),MONTH(M$4),1),IncDocDate,"&lt;="&amp;M$4,IncAccount,LEFT($A15,5)&amp;"*")+SUMIFS(ExpExcl,ExpDocDate,"&gt;="&amp;DATE(YEAR(M$4),MONTH(M$4),1),ExpDocDate,"&lt;="&amp;M$4,ExpAccount,LEFT($A15,5)&amp;"*"),-SUMIFS(IncExcl,IncDocDate,"&gt;="&amp;DATE(YEAR(M$4),MONTH(M$4),1),IncDocDate,"&lt;="&amp;M$4,IncAccount,$A15)+SUMIFS(ExpExcl,ExpDocDate,"&gt;="&amp;DATE(YEAR(M$4),MONTH(M$4),1),ExpDocDate,"&lt;="&amp;M$4,ExpAccount,$A15))</f>
        <v>0</v>
      </c>
      <c r="N15" s="34" cm="1">
        <f t="array" aca="1" ref="N15" ca="1">IF(RIGHT($A15,1)="G",-SUMIFS(IncExcl,IncDocDate,"&gt;="&amp;DATE(YEAR(N$4),MONTH(N$4),1),IncDocDate,"&lt;="&amp;N$4,IncAccount,LEFT($A15,5)&amp;"*")+SUMIFS(ExpExcl,ExpDocDate,"&gt;="&amp;DATE(YEAR(N$4),MONTH(N$4),1),ExpDocDate,"&lt;="&amp;N$4,ExpAccount,LEFT($A15,5)&amp;"*"),-SUMIFS(IncExcl,IncDocDate,"&gt;="&amp;DATE(YEAR(N$4),MONTH(N$4),1),IncDocDate,"&lt;="&amp;N$4,IncAccount,$A15)+SUMIFS(ExpExcl,ExpDocDate,"&gt;="&amp;DATE(YEAR(N$4),MONTH(N$4),1),ExpDocDate,"&lt;="&amp;N$4,ExpAccount,$A15))</f>
        <v>0</v>
      </c>
      <c r="O15" s="188">
        <f t="shared" ca="1" si="3"/>
        <v>19340</v>
      </c>
      <c r="P15" s="188" cm="1">
        <f t="array" aca="1" ref="P15" ca="1">IF(RIGHT($A15,1)="G",-SUMIFS(IncExcl,IncDocDate,"&gt;="&amp;$P$2,IncDocDate,"&lt;="&amp;$P$3,IncAccount,LEFT($A15,5)&amp;"*")+SUMIFS(ExpExcl,ExpDocDate,"&gt;="&amp;$P$2,ExpDocDate,"&lt;="&amp;$P$3,ExpAccount,LEFT($A15,5)&amp;"*"),-SUMIFS(IncExcl,IncDocDate,"&gt;="&amp;$P$2,IncDocDate,"&lt;="&amp;$P$3,IncAccount,$A15)+SUMIFS(ExpExcl,ExpDocDate,"&gt;="&amp;$P$2,ExpDocDate,"&lt;="&amp;$P$3,ExpAccount,$A15))</f>
        <v>0</v>
      </c>
    </row>
    <row r="16" spans="1:16" ht="15.95" customHeight="1" x14ac:dyDescent="0.3">
      <c r="A16" s="277" t="s">
        <v>186</v>
      </c>
      <c r="B16" s="12" t="str">
        <f ca="1">IF(RIGHT($A16,1)="G",IF(ISNA(VLOOKUP(LEFT($A16,LEN($A16)-1),GroupAll,COLUMN(Groups!$B$4),0)),"Group Not Found",VLOOKUP(LEFT($A16,LEN($A16)-1),GroupAll,COLUMN(Groups!$B$4),0)),IF(ISNA(VLOOKUP($A16,AccountAll,COLUMN(TB!$B$4),0)),"Account Not Found",VLOOKUP($A16,AccountAll,COLUMN(TB!$B$4),0)))</f>
        <v>Commission</v>
      </c>
      <c r="C16" s="34" cm="1">
        <f t="array" aca="1" ref="C16" ca="1">IF(RIGHT($A16,1)="G",-SUMIFS(IncExcl,IncDocDate,"&gt;="&amp;DATE(YEAR(C$4),MONTH(C$4),1),IncDocDate,"&lt;="&amp;C$4,IncAccount,LEFT($A16,5)&amp;"*")+SUMIFS(ExpExcl,ExpDocDate,"&gt;="&amp;DATE(YEAR(C$4),MONTH(C$4),1),ExpDocDate,"&lt;="&amp;C$4,ExpAccount,LEFT($A16,5)&amp;"*"),-SUMIFS(IncExcl,IncDocDate,"&gt;="&amp;DATE(YEAR(C$4),MONTH(C$4),1),IncDocDate,"&lt;="&amp;C$4,IncAccount,$A16)+SUMIFS(ExpExcl,ExpDocDate,"&gt;="&amp;DATE(YEAR(C$4),MONTH(C$4),1),ExpDocDate,"&lt;="&amp;C$4,ExpAccount,$A16))</f>
        <v>0</v>
      </c>
      <c r="D16" s="34" cm="1">
        <f t="array" aca="1" ref="D16" ca="1">IF(RIGHT($A16,1)="G",-SUMIFS(IncExcl,IncDocDate,"&gt;="&amp;DATE(YEAR(D$4),MONTH(D$4),1),IncDocDate,"&lt;="&amp;D$4,IncAccount,LEFT($A16,5)&amp;"*")+SUMIFS(ExpExcl,ExpDocDate,"&gt;="&amp;DATE(YEAR(D$4),MONTH(D$4),1),ExpDocDate,"&lt;="&amp;D$4,ExpAccount,LEFT($A16,5)&amp;"*"),-SUMIFS(IncExcl,IncDocDate,"&gt;="&amp;DATE(YEAR(D$4),MONTH(D$4),1),IncDocDate,"&lt;="&amp;D$4,IncAccount,$A16)+SUMIFS(ExpExcl,ExpDocDate,"&gt;="&amp;DATE(YEAR(D$4),MONTH(D$4),1),ExpDocDate,"&lt;="&amp;D$4,ExpAccount,$A16))</f>
        <v>0</v>
      </c>
      <c r="E16" s="34" cm="1">
        <f t="array" aca="1" ref="E16" ca="1">IF(RIGHT($A16,1)="G",-SUMIFS(IncExcl,IncDocDate,"&gt;="&amp;DATE(YEAR(E$4),MONTH(E$4),1),IncDocDate,"&lt;="&amp;E$4,IncAccount,LEFT($A16,5)&amp;"*")+SUMIFS(ExpExcl,ExpDocDate,"&gt;="&amp;DATE(YEAR(E$4),MONTH(E$4),1),ExpDocDate,"&lt;="&amp;E$4,ExpAccount,LEFT($A16,5)&amp;"*"),-SUMIFS(IncExcl,IncDocDate,"&gt;="&amp;DATE(YEAR(E$4),MONTH(E$4),1),IncDocDate,"&lt;="&amp;E$4,IncAccount,$A16)+SUMIFS(ExpExcl,ExpDocDate,"&gt;="&amp;DATE(YEAR(E$4),MONTH(E$4),1),ExpDocDate,"&lt;="&amp;E$4,ExpAccount,$A16))</f>
        <v>0</v>
      </c>
      <c r="F16" s="34" cm="1">
        <f t="array" aca="1" ref="F16" ca="1">IF(RIGHT($A16,1)="G",-SUMIFS(IncExcl,IncDocDate,"&gt;="&amp;DATE(YEAR(F$4),MONTH(F$4),1),IncDocDate,"&lt;="&amp;F$4,IncAccount,LEFT($A16,5)&amp;"*")+SUMIFS(ExpExcl,ExpDocDate,"&gt;="&amp;DATE(YEAR(F$4),MONTH(F$4),1),ExpDocDate,"&lt;="&amp;F$4,ExpAccount,LEFT($A16,5)&amp;"*"),-SUMIFS(IncExcl,IncDocDate,"&gt;="&amp;DATE(YEAR(F$4),MONTH(F$4),1),IncDocDate,"&lt;="&amp;F$4,IncAccount,$A16)+SUMIFS(ExpExcl,ExpDocDate,"&gt;="&amp;DATE(YEAR(F$4),MONTH(F$4),1),ExpDocDate,"&lt;="&amp;F$4,ExpAccount,$A16))</f>
        <v>0</v>
      </c>
      <c r="G16" s="34" cm="1">
        <f t="array" aca="1" ref="G16" ca="1">IF(RIGHT($A16,1)="G",-SUMIFS(IncExcl,IncDocDate,"&gt;="&amp;DATE(YEAR(G$4),MONTH(G$4),1),IncDocDate,"&lt;="&amp;G$4,IncAccount,LEFT($A16,5)&amp;"*")+SUMIFS(ExpExcl,ExpDocDate,"&gt;="&amp;DATE(YEAR(G$4),MONTH(G$4),1),ExpDocDate,"&lt;="&amp;G$4,ExpAccount,LEFT($A16,5)&amp;"*"),-SUMIFS(IncExcl,IncDocDate,"&gt;="&amp;DATE(YEAR(G$4),MONTH(G$4),1),IncDocDate,"&lt;="&amp;G$4,IncAccount,$A16)+SUMIFS(ExpExcl,ExpDocDate,"&gt;="&amp;DATE(YEAR(G$4),MONTH(G$4),1),ExpDocDate,"&lt;="&amp;G$4,ExpAccount,$A16))</f>
        <v>0</v>
      </c>
      <c r="H16" s="34" cm="1">
        <f t="array" aca="1" ref="H16" ca="1">IF(RIGHT($A16,1)="G",-SUMIFS(IncExcl,IncDocDate,"&gt;="&amp;DATE(YEAR(H$4),MONTH(H$4),1),IncDocDate,"&lt;="&amp;H$4,IncAccount,LEFT($A16,5)&amp;"*")+SUMIFS(ExpExcl,ExpDocDate,"&gt;="&amp;DATE(YEAR(H$4),MONTH(H$4),1),ExpDocDate,"&lt;="&amp;H$4,ExpAccount,LEFT($A16,5)&amp;"*"),-SUMIFS(IncExcl,IncDocDate,"&gt;="&amp;DATE(YEAR(H$4),MONTH(H$4),1),IncDocDate,"&lt;="&amp;H$4,IncAccount,$A16)+SUMIFS(ExpExcl,ExpDocDate,"&gt;="&amp;DATE(YEAR(H$4),MONTH(H$4),1),ExpDocDate,"&lt;="&amp;H$4,ExpAccount,$A16))</f>
        <v>0</v>
      </c>
      <c r="I16" s="34" cm="1">
        <f t="array" aca="1" ref="I16" ca="1">IF(RIGHT($A16,1)="G",-SUMIFS(IncExcl,IncDocDate,"&gt;="&amp;DATE(YEAR(I$4),MONTH(I$4),1),IncDocDate,"&lt;="&amp;I$4,IncAccount,LEFT($A16,5)&amp;"*")+SUMIFS(ExpExcl,ExpDocDate,"&gt;="&amp;DATE(YEAR(I$4),MONTH(I$4),1),ExpDocDate,"&lt;="&amp;I$4,ExpAccount,LEFT($A16,5)&amp;"*"),-SUMIFS(IncExcl,IncDocDate,"&gt;="&amp;DATE(YEAR(I$4),MONTH(I$4),1),IncDocDate,"&lt;="&amp;I$4,IncAccount,$A16)+SUMIFS(ExpExcl,ExpDocDate,"&gt;="&amp;DATE(YEAR(I$4),MONTH(I$4),1),ExpDocDate,"&lt;="&amp;I$4,ExpAccount,$A16))</f>
        <v>0</v>
      </c>
      <c r="J16" s="34" cm="1">
        <f t="array" aca="1" ref="J16" ca="1">IF(RIGHT($A16,1)="G",-SUMIFS(IncExcl,IncDocDate,"&gt;="&amp;DATE(YEAR(J$4),MONTH(J$4),1),IncDocDate,"&lt;="&amp;J$4,IncAccount,LEFT($A16,5)&amp;"*")+SUMIFS(ExpExcl,ExpDocDate,"&gt;="&amp;DATE(YEAR(J$4),MONTH(J$4),1),ExpDocDate,"&lt;="&amp;J$4,ExpAccount,LEFT($A16,5)&amp;"*"),-SUMIFS(IncExcl,IncDocDate,"&gt;="&amp;DATE(YEAR(J$4),MONTH(J$4),1),IncDocDate,"&lt;="&amp;J$4,IncAccount,$A16)+SUMIFS(ExpExcl,ExpDocDate,"&gt;="&amp;DATE(YEAR(J$4),MONTH(J$4),1),ExpDocDate,"&lt;="&amp;J$4,ExpAccount,$A16))</f>
        <v>0</v>
      </c>
      <c r="K16" s="34" cm="1">
        <f t="array" aca="1" ref="K16" ca="1">IF(RIGHT($A16,1)="G",-SUMIFS(IncExcl,IncDocDate,"&gt;="&amp;DATE(YEAR(K$4),MONTH(K$4),1),IncDocDate,"&lt;="&amp;K$4,IncAccount,LEFT($A16,5)&amp;"*")+SUMIFS(ExpExcl,ExpDocDate,"&gt;="&amp;DATE(YEAR(K$4),MONTH(K$4),1),ExpDocDate,"&lt;="&amp;K$4,ExpAccount,LEFT($A16,5)&amp;"*"),-SUMIFS(IncExcl,IncDocDate,"&gt;="&amp;DATE(YEAR(K$4),MONTH(K$4),1),IncDocDate,"&lt;="&amp;K$4,IncAccount,$A16)+SUMIFS(ExpExcl,ExpDocDate,"&gt;="&amp;DATE(YEAR(K$4),MONTH(K$4),1),ExpDocDate,"&lt;="&amp;K$4,ExpAccount,$A16))</f>
        <v>0</v>
      </c>
      <c r="L16" s="34" cm="1">
        <f t="array" aca="1" ref="L16" ca="1">IF(RIGHT($A16,1)="G",-SUMIFS(IncExcl,IncDocDate,"&gt;="&amp;DATE(YEAR(L$4),MONTH(L$4),1),IncDocDate,"&lt;="&amp;L$4,IncAccount,LEFT($A16,5)&amp;"*")+SUMIFS(ExpExcl,ExpDocDate,"&gt;="&amp;DATE(YEAR(L$4),MONTH(L$4),1),ExpDocDate,"&lt;="&amp;L$4,ExpAccount,LEFT($A16,5)&amp;"*"),-SUMIFS(IncExcl,IncDocDate,"&gt;="&amp;DATE(YEAR(L$4),MONTH(L$4),1),IncDocDate,"&lt;="&amp;L$4,IncAccount,$A16)+SUMIFS(ExpExcl,ExpDocDate,"&gt;="&amp;DATE(YEAR(L$4),MONTH(L$4),1),ExpDocDate,"&lt;="&amp;L$4,ExpAccount,$A16))</f>
        <v>0</v>
      </c>
      <c r="M16" s="34" cm="1">
        <f t="array" aca="1" ref="M16" ca="1">IF(RIGHT($A16,1)="G",-SUMIFS(IncExcl,IncDocDate,"&gt;="&amp;DATE(YEAR(M$4),MONTH(M$4),1),IncDocDate,"&lt;="&amp;M$4,IncAccount,LEFT($A16,5)&amp;"*")+SUMIFS(ExpExcl,ExpDocDate,"&gt;="&amp;DATE(YEAR(M$4),MONTH(M$4),1),ExpDocDate,"&lt;="&amp;M$4,ExpAccount,LEFT($A16,5)&amp;"*"),-SUMIFS(IncExcl,IncDocDate,"&gt;="&amp;DATE(YEAR(M$4),MONTH(M$4),1),IncDocDate,"&lt;="&amp;M$4,IncAccount,$A16)+SUMIFS(ExpExcl,ExpDocDate,"&gt;="&amp;DATE(YEAR(M$4),MONTH(M$4),1),ExpDocDate,"&lt;="&amp;M$4,ExpAccount,$A16))</f>
        <v>0</v>
      </c>
      <c r="N16" s="34" cm="1">
        <f t="array" aca="1" ref="N16" ca="1">IF(RIGHT($A16,1)="G",-SUMIFS(IncExcl,IncDocDate,"&gt;="&amp;DATE(YEAR(N$4),MONTH(N$4),1),IncDocDate,"&lt;="&amp;N$4,IncAccount,LEFT($A16,5)&amp;"*")+SUMIFS(ExpExcl,ExpDocDate,"&gt;="&amp;DATE(YEAR(N$4),MONTH(N$4),1),ExpDocDate,"&lt;="&amp;N$4,ExpAccount,LEFT($A16,5)&amp;"*"),-SUMIFS(IncExcl,IncDocDate,"&gt;="&amp;DATE(YEAR(N$4),MONTH(N$4),1),IncDocDate,"&lt;="&amp;N$4,IncAccount,$A16)+SUMIFS(ExpExcl,ExpDocDate,"&gt;="&amp;DATE(YEAR(N$4),MONTH(N$4),1),ExpDocDate,"&lt;="&amp;N$4,ExpAccount,$A16))</f>
        <v>0</v>
      </c>
      <c r="O16" s="188">
        <f t="shared" ca="1" si="3"/>
        <v>0</v>
      </c>
      <c r="P16" s="188" cm="1">
        <f t="array" aca="1" ref="P16" ca="1">IF(RIGHT($A16,1)="G",-SUMIFS(IncExcl,IncDocDate,"&gt;="&amp;$P$2,IncDocDate,"&lt;="&amp;$P$3,IncAccount,LEFT($A16,5)&amp;"*")+SUMIFS(ExpExcl,ExpDocDate,"&gt;="&amp;$P$2,ExpDocDate,"&lt;="&amp;$P$3,ExpAccount,LEFT($A16,5)&amp;"*"),-SUMIFS(IncExcl,IncDocDate,"&gt;="&amp;$P$2,IncDocDate,"&lt;="&amp;$P$3,IncAccount,$A16)+SUMIFS(ExpExcl,ExpDocDate,"&gt;="&amp;$P$2,ExpDocDate,"&lt;="&amp;$P$3,ExpAccount,$A16))</f>
        <v>0</v>
      </c>
    </row>
    <row r="17" spans="1:16" ht="15.95" customHeight="1" x14ac:dyDescent="0.3">
      <c r="A17" s="277" t="s">
        <v>187</v>
      </c>
      <c r="B17" s="12" t="str">
        <f ca="1">IF(RIGHT($A17,1)="G",IF(ISNA(VLOOKUP(LEFT($A17,LEN($A17)-1),GroupAll,COLUMN(Groups!$B$4),0)),"Group Not Found",VLOOKUP(LEFT($A17,LEN($A17)-1),GroupAll,COLUMN(Groups!$B$4),0)),IF(ISNA(VLOOKUP($A17,AccountAll,COLUMN(TB!$B$4),0)),"Account Not Found",VLOOKUP($A17,AccountAll,COLUMN(TB!$B$4),0)))</f>
        <v>Computer Expenses</v>
      </c>
      <c r="C17" s="34" cm="1">
        <f t="array" aca="1" ref="C17" ca="1">IF(RIGHT($A17,1)="G",-SUMIFS(IncExcl,IncDocDate,"&gt;="&amp;DATE(YEAR(C$4),MONTH(C$4),1),IncDocDate,"&lt;="&amp;C$4,IncAccount,LEFT($A17,5)&amp;"*")+SUMIFS(ExpExcl,ExpDocDate,"&gt;="&amp;DATE(YEAR(C$4),MONTH(C$4),1),ExpDocDate,"&lt;="&amp;C$4,ExpAccount,LEFT($A17,5)&amp;"*"),-SUMIFS(IncExcl,IncDocDate,"&gt;="&amp;DATE(YEAR(C$4),MONTH(C$4),1),IncDocDate,"&lt;="&amp;C$4,IncAccount,$A17)+SUMIFS(ExpExcl,ExpDocDate,"&gt;="&amp;DATE(YEAR(C$4),MONTH(C$4),1),ExpDocDate,"&lt;="&amp;C$4,ExpAccount,$A17))</f>
        <v>0</v>
      </c>
      <c r="D17" s="34" cm="1">
        <f t="array" aca="1" ref="D17" ca="1">IF(RIGHT($A17,1)="G",-SUMIFS(IncExcl,IncDocDate,"&gt;="&amp;DATE(YEAR(D$4),MONTH(D$4),1),IncDocDate,"&lt;="&amp;D$4,IncAccount,LEFT($A17,5)&amp;"*")+SUMIFS(ExpExcl,ExpDocDate,"&gt;="&amp;DATE(YEAR(D$4),MONTH(D$4),1),ExpDocDate,"&lt;="&amp;D$4,ExpAccount,LEFT($A17,5)&amp;"*"),-SUMIFS(IncExcl,IncDocDate,"&gt;="&amp;DATE(YEAR(D$4),MONTH(D$4),1),IncDocDate,"&lt;="&amp;D$4,IncAccount,$A17)+SUMIFS(ExpExcl,ExpDocDate,"&gt;="&amp;DATE(YEAR(D$4),MONTH(D$4),1),ExpDocDate,"&lt;="&amp;D$4,ExpAccount,$A17))</f>
        <v>0</v>
      </c>
      <c r="E17" s="34" cm="1">
        <f t="array" aca="1" ref="E17" ca="1">IF(RIGHT($A17,1)="G",-SUMIFS(IncExcl,IncDocDate,"&gt;="&amp;DATE(YEAR(E$4),MONTH(E$4),1),IncDocDate,"&lt;="&amp;E$4,IncAccount,LEFT($A17,5)&amp;"*")+SUMIFS(ExpExcl,ExpDocDate,"&gt;="&amp;DATE(YEAR(E$4),MONTH(E$4),1),ExpDocDate,"&lt;="&amp;E$4,ExpAccount,LEFT($A17,5)&amp;"*"),-SUMIFS(IncExcl,IncDocDate,"&gt;="&amp;DATE(YEAR(E$4),MONTH(E$4),1),IncDocDate,"&lt;="&amp;E$4,IncAccount,$A17)+SUMIFS(ExpExcl,ExpDocDate,"&gt;="&amp;DATE(YEAR(E$4),MONTH(E$4),1),ExpDocDate,"&lt;="&amp;E$4,ExpAccount,$A17))</f>
        <v>0</v>
      </c>
      <c r="F17" s="34" cm="1">
        <f t="array" aca="1" ref="F17" ca="1">IF(RIGHT($A17,1)="G",-SUMIFS(IncExcl,IncDocDate,"&gt;="&amp;DATE(YEAR(F$4),MONTH(F$4),1),IncDocDate,"&lt;="&amp;F$4,IncAccount,LEFT($A17,5)&amp;"*")+SUMIFS(ExpExcl,ExpDocDate,"&gt;="&amp;DATE(YEAR(F$4),MONTH(F$4),1),ExpDocDate,"&lt;="&amp;F$4,ExpAccount,LEFT($A17,5)&amp;"*"),-SUMIFS(IncExcl,IncDocDate,"&gt;="&amp;DATE(YEAR(F$4),MONTH(F$4),1),IncDocDate,"&lt;="&amp;F$4,IncAccount,$A17)+SUMIFS(ExpExcl,ExpDocDate,"&gt;="&amp;DATE(YEAR(F$4),MONTH(F$4),1),ExpDocDate,"&lt;="&amp;F$4,ExpAccount,$A17))</f>
        <v>0</v>
      </c>
      <c r="G17" s="34" cm="1">
        <f t="array" aca="1" ref="G17" ca="1">IF(RIGHT($A17,1)="G",-SUMIFS(IncExcl,IncDocDate,"&gt;="&amp;DATE(YEAR(G$4),MONTH(G$4),1),IncDocDate,"&lt;="&amp;G$4,IncAccount,LEFT($A17,5)&amp;"*")+SUMIFS(ExpExcl,ExpDocDate,"&gt;="&amp;DATE(YEAR(G$4),MONTH(G$4),1),ExpDocDate,"&lt;="&amp;G$4,ExpAccount,LEFT($A17,5)&amp;"*"),-SUMIFS(IncExcl,IncDocDate,"&gt;="&amp;DATE(YEAR(G$4),MONTH(G$4),1),IncDocDate,"&lt;="&amp;G$4,IncAccount,$A17)+SUMIFS(ExpExcl,ExpDocDate,"&gt;="&amp;DATE(YEAR(G$4),MONTH(G$4),1),ExpDocDate,"&lt;="&amp;G$4,ExpAccount,$A17))</f>
        <v>0</v>
      </c>
      <c r="H17" s="34" cm="1">
        <f t="array" aca="1" ref="H17" ca="1">IF(RIGHT($A17,1)="G",-SUMIFS(IncExcl,IncDocDate,"&gt;="&amp;DATE(YEAR(H$4),MONTH(H$4),1),IncDocDate,"&lt;="&amp;H$4,IncAccount,LEFT($A17,5)&amp;"*")+SUMIFS(ExpExcl,ExpDocDate,"&gt;="&amp;DATE(YEAR(H$4),MONTH(H$4),1),ExpDocDate,"&lt;="&amp;H$4,ExpAccount,LEFT($A17,5)&amp;"*"),-SUMIFS(IncExcl,IncDocDate,"&gt;="&amp;DATE(YEAR(H$4),MONTH(H$4),1),IncDocDate,"&lt;="&amp;H$4,IncAccount,$A17)+SUMIFS(ExpExcl,ExpDocDate,"&gt;="&amp;DATE(YEAR(H$4),MONTH(H$4),1),ExpDocDate,"&lt;="&amp;H$4,ExpAccount,$A17))</f>
        <v>0</v>
      </c>
      <c r="I17" s="34" cm="1">
        <f t="array" aca="1" ref="I17" ca="1">IF(RIGHT($A17,1)="G",-SUMIFS(IncExcl,IncDocDate,"&gt;="&amp;DATE(YEAR(I$4),MONTH(I$4),1),IncDocDate,"&lt;="&amp;I$4,IncAccount,LEFT($A17,5)&amp;"*")+SUMIFS(ExpExcl,ExpDocDate,"&gt;="&amp;DATE(YEAR(I$4),MONTH(I$4),1),ExpDocDate,"&lt;="&amp;I$4,ExpAccount,LEFT($A17,5)&amp;"*"),-SUMIFS(IncExcl,IncDocDate,"&gt;="&amp;DATE(YEAR(I$4),MONTH(I$4),1),IncDocDate,"&lt;="&amp;I$4,IncAccount,$A17)+SUMIFS(ExpExcl,ExpDocDate,"&gt;="&amp;DATE(YEAR(I$4),MONTH(I$4),1),ExpDocDate,"&lt;="&amp;I$4,ExpAccount,$A17))</f>
        <v>0</v>
      </c>
      <c r="J17" s="34" cm="1">
        <f t="array" aca="1" ref="J17" ca="1">IF(RIGHT($A17,1)="G",-SUMIFS(IncExcl,IncDocDate,"&gt;="&amp;DATE(YEAR(J$4),MONTH(J$4),1),IncDocDate,"&lt;="&amp;J$4,IncAccount,LEFT($A17,5)&amp;"*")+SUMIFS(ExpExcl,ExpDocDate,"&gt;="&amp;DATE(YEAR(J$4),MONTH(J$4),1),ExpDocDate,"&lt;="&amp;J$4,ExpAccount,LEFT($A17,5)&amp;"*"),-SUMIFS(IncExcl,IncDocDate,"&gt;="&amp;DATE(YEAR(J$4),MONTH(J$4),1),IncDocDate,"&lt;="&amp;J$4,IncAccount,$A17)+SUMIFS(ExpExcl,ExpDocDate,"&gt;="&amp;DATE(YEAR(J$4),MONTH(J$4),1),ExpDocDate,"&lt;="&amp;J$4,ExpAccount,$A17))</f>
        <v>0</v>
      </c>
      <c r="K17" s="34" cm="1">
        <f t="array" aca="1" ref="K17" ca="1">IF(RIGHT($A17,1)="G",-SUMIFS(IncExcl,IncDocDate,"&gt;="&amp;DATE(YEAR(K$4),MONTH(K$4),1),IncDocDate,"&lt;="&amp;K$4,IncAccount,LEFT($A17,5)&amp;"*")+SUMIFS(ExpExcl,ExpDocDate,"&gt;="&amp;DATE(YEAR(K$4),MONTH(K$4),1),ExpDocDate,"&lt;="&amp;K$4,ExpAccount,LEFT($A17,5)&amp;"*"),-SUMIFS(IncExcl,IncDocDate,"&gt;="&amp;DATE(YEAR(K$4),MONTH(K$4),1),IncDocDate,"&lt;="&amp;K$4,IncAccount,$A17)+SUMIFS(ExpExcl,ExpDocDate,"&gt;="&amp;DATE(YEAR(K$4),MONTH(K$4),1),ExpDocDate,"&lt;="&amp;K$4,ExpAccount,$A17))</f>
        <v>0</v>
      </c>
      <c r="L17" s="34" cm="1">
        <f t="array" aca="1" ref="L17" ca="1">IF(RIGHT($A17,1)="G",-SUMIFS(IncExcl,IncDocDate,"&gt;="&amp;DATE(YEAR(L$4),MONTH(L$4),1),IncDocDate,"&lt;="&amp;L$4,IncAccount,LEFT($A17,5)&amp;"*")+SUMIFS(ExpExcl,ExpDocDate,"&gt;="&amp;DATE(YEAR(L$4),MONTH(L$4),1),ExpDocDate,"&lt;="&amp;L$4,ExpAccount,LEFT($A17,5)&amp;"*"),-SUMIFS(IncExcl,IncDocDate,"&gt;="&amp;DATE(YEAR(L$4),MONTH(L$4),1),IncDocDate,"&lt;="&amp;L$4,IncAccount,$A17)+SUMIFS(ExpExcl,ExpDocDate,"&gt;="&amp;DATE(YEAR(L$4),MONTH(L$4),1),ExpDocDate,"&lt;="&amp;L$4,ExpAccount,$A17))</f>
        <v>0</v>
      </c>
      <c r="M17" s="34" cm="1">
        <f t="array" aca="1" ref="M17" ca="1">IF(RIGHT($A17,1)="G",-SUMIFS(IncExcl,IncDocDate,"&gt;="&amp;DATE(YEAR(M$4),MONTH(M$4),1),IncDocDate,"&lt;="&amp;M$4,IncAccount,LEFT($A17,5)&amp;"*")+SUMIFS(ExpExcl,ExpDocDate,"&gt;="&amp;DATE(YEAR(M$4),MONTH(M$4),1),ExpDocDate,"&lt;="&amp;M$4,ExpAccount,LEFT($A17,5)&amp;"*"),-SUMIFS(IncExcl,IncDocDate,"&gt;="&amp;DATE(YEAR(M$4),MONTH(M$4),1),IncDocDate,"&lt;="&amp;M$4,IncAccount,$A17)+SUMIFS(ExpExcl,ExpDocDate,"&gt;="&amp;DATE(YEAR(M$4),MONTH(M$4),1),ExpDocDate,"&lt;="&amp;M$4,ExpAccount,$A17))</f>
        <v>0</v>
      </c>
      <c r="N17" s="34" cm="1">
        <f t="array" aca="1" ref="N17" ca="1">IF(RIGHT($A17,1)="G",-SUMIFS(IncExcl,IncDocDate,"&gt;="&amp;DATE(YEAR(N$4),MONTH(N$4),1),IncDocDate,"&lt;="&amp;N$4,IncAccount,LEFT($A17,5)&amp;"*")+SUMIFS(ExpExcl,ExpDocDate,"&gt;="&amp;DATE(YEAR(N$4),MONTH(N$4),1),ExpDocDate,"&lt;="&amp;N$4,ExpAccount,LEFT($A17,5)&amp;"*"),-SUMIFS(IncExcl,IncDocDate,"&gt;="&amp;DATE(YEAR(N$4),MONTH(N$4),1),IncDocDate,"&lt;="&amp;N$4,IncAccount,$A17)+SUMIFS(ExpExcl,ExpDocDate,"&gt;="&amp;DATE(YEAR(N$4),MONTH(N$4),1),ExpDocDate,"&lt;="&amp;N$4,ExpAccount,$A17))</f>
        <v>0</v>
      </c>
      <c r="O17" s="188">
        <f t="shared" ca="1" si="3"/>
        <v>0</v>
      </c>
      <c r="P17" s="188" cm="1">
        <f t="array" aca="1" ref="P17" ca="1">IF(RIGHT($A17,1)="G",-SUMIFS(IncExcl,IncDocDate,"&gt;="&amp;$P$2,IncDocDate,"&lt;="&amp;$P$3,IncAccount,LEFT($A17,5)&amp;"*")+SUMIFS(ExpExcl,ExpDocDate,"&gt;="&amp;$P$2,ExpDocDate,"&lt;="&amp;$P$3,ExpAccount,LEFT($A17,5)&amp;"*"),-SUMIFS(IncExcl,IncDocDate,"&gt;="&amp;$P$2,IncDocDate,"&lt;="&amp;$P$3,IncAccount,$A17)+SUMIFS(ExpExcl,ExpDocDate,"&gt;="&amp;$P$2,ExpDocDate,"&lt;="&amp;$P$3,ExpAccount,$A17))</f>
        <v>0</v>
      </c>
    </row>
    <row r="18" spans="1:16" ht="15.95" customHeight="1" x14ac:dyDescent="0.3">
      <c r="A18" s="277" t="s">
        <v>188</v>
      </c>
      <c r="B18" s="12" t="str">
        <f ca="1">IF(RIGHT($A18,1)="G",IF(ISNA(VLOOKUP(LEFT($A18,LEN($A18)-1),GroupAll,COLUMN(Groups!$B$4),0)),"Group Not Found",VLOOKUP(LEFT($A18,LEN($A18)-1),GroupAll,COLUMN(Groups!$B$4),0)),IF(ISNA(VLOOKUP($A18,AccountAll,COLUMN(TB!$B$4),0)),"Account Not Found",VLOOKUP($A18,AccountAll,COLUMN(TB!$B$4),0)))</f>
        <v>Consumables &amp; Cleaning</v>
      </c>
      <c r="C18" s="34" cm="1">
        <f t="array" aca="1" ref="C18" ca="1">IF(RIGHT($A18,1)="G",-SUMIFS(IncExcl,IncDocDate,"&gt;="&amp;DATE(YEAR(C$4),MONTH(C$4),1),IncDocDate,"&lt;="&amp;C$4,IncAccount,LEFT($A18,5)&amp;"*")+SUMIFS(ExpExcl,ExpDocDate,"&gt;="&amp;DATE(YEAR(C$4),MONTH(C$4),1),ExpDocDate,"&lt;="&amp;C$4,ExpAccount,LEFT($A18,5)&amp;"*"),-SUMIFS(IncExcl,IncDocDate,"&gt;="&amp;DATE(YEAR(C$4),MONTH(C$4),1),IncDocDate,"&lt;="&amp;C$4,IncAccount,$A18)+SUMIFS(ExpExcl,ExpDocDate,"&gt;="&amp;DATE(YEAR(C$4),MONTH(C$4),1),ExpDocDate,"&lt;="&amp;C$4,ExpAccount,$A18))</f>
        <v>0</v>
      </c>
      <c r="D18" s="34" cm="1">
        <f t="array" aca="1" ref="D18" ca="1">IF(RIGHT($A18,1)="G",-SUMIFS(IncExcl,IncDocDate,"&gt;="&amp;DATE(YEAR(D$4),MONTH(D$4),1),IncDocDate,"&lt;="&amp;D$4,IncAccount,LEFT($A18,5)&amp;"*")+SUMIFS(ExpExcl,ExpDocDate,"&gt;="&amp;DATE(YEAR(D$4),MONTH(D$4),1),ExpDocDate,"&lt;="&amp;D$4,ExpAccount,LEFT($A18,5)&amp;"*"),-SUMIFS(IncExcl,IncDocDate,"&gt;="&amp;DATE(YEAR(D$4),MONTH(D$4),1),IncDocDate,"&lt;="&amp;D$4,IncAccount,$A18)+SUMIFS(ExpExcl,ExpDocDate,"&gt;="&amp;DATE(YEAR(D$4),MONTH(D$4),1),ExpDocDate,"&lt;="&amp;D$4,ExpAccount,$A18))</f>
        <v>0</v>
      </c>
      <c r="E18" s="34" cm="1">
        <f t="array" aca="1" ref="E18" ca="1">IF(RIGHT($A18,1)="G",-SUMIFS(IncExcl,IncDocDate,"&gt;="&amp;DATE(YEAR(E$4),MONTH(E$4),1),IncDocDate,"&lt;="&amp;E$4,IncAccount,LEFT($A18,5)&amp;"*")+SUMIFS(ExpExcl,ExpDocDate,"&gt;="&amp;DATE(YEAR(E$4),MONTH(E$4),1),ExpDocDate,"&lt;="&amp;E$4,ExpAccount,LEFT($A18,5)&amp;"*"),-SUMIFS(IncExcl,IncDocDate,"&gt;="&amp;DATE(YEAR(E$4),MONTH(E$4),1),IncDocDate,"&lt;="&amp;E$4,IncAccount,$A18)+SUMIFS(ExpExcl,ExpDocDate,"&gt;="&amp;DATE(YEAR(E$4),MONTH(E$4),1),ExpDocDate,"&lt;="&amp;E$4,ExpAccount,$A18))</f>
        <v>0</v>
      </c>
      <c r="F18" s="34" cm="1">
        <f t="array" aca="1" ref="F18" ca="1">IF(RIGHT($A18,1)="G",-SUMIFS(IncExcl,IncDocDate,"&gt;="&amp;DATE(YEAR(F$4),MONTH(F$4),1),IncDocDate,"&lt;="&amp;F$4,IncAccount,LEFT($A18,5)&amp;"*")+SUMIFS(ExpExcl,ExpDocDate,"&gt;="&amp;DATE(YEAR(F$4),MONTH(F$4),1),ExpDocDate,"&lt;="&amp;F$4,ExpAccount,LEFT($A18,5)&amp;"*"),-SUMIFS(IncExcl,IncDocDate,"&gt;="&amp;DATE(YEAR(F$4),MONTH(F$4),1),IncDocDate,"&lt;="&amp;F$4,IncAccount,$A18)+SUMIFS(ExpExcl,ExpDocDate,"&gt;="&amp;DATE(YEAR(F$4),MONTH(F$4),1),ExpDocDate,"&lt;="&amp;F$4,ExpAccount,$A18))</f>
        <v>0</v>
      </c>
      <c r="G18" s="34" cm="1">
        <f t="array" aca="1" ref="G18" ca="1">IF(RIGHT($A18,1)="G",-SUMIFS(IncExcl,IncDocDate,"&gt;="&amp;DATE(YEAR(G$4),MONTH(G$4),1),IncDocDate,"&lt;="&amp;G$4,IncAccount,LEFT($A18,5)&amp;"*")+SUMIFS(ExpExcl,ExpDocDate,"&gt;="&amp;DATE(YEAR(G$4),MONTH(G$4),1),ExpDocDate,"&lt;="&amp;G$4,ExpAccount,LEFT($A18,5)&amp;"*"),-SUMIFS(IncExcl,IncDocDate,"&gt;="&amp;DATE(YEAR(G$4),MONTH(G$4),1),IncDocDate,"&lt;="&amp;G$4,IncAccount,$A18)+SUMIFS(ExpExcl,ExpDocDate,"&gt;="&amp;DATE(YEAR(G$4),MONTH(G$4),1),ExpDocDate,"&lt;="&amp;G$4,ExpAccount,$A18))</f>
        <v>0</v>
      </c>
      <c r="H18" s="34" cm="1">
        <f t="array" aca="1" ref="H18" ca="1">IF(RIGHT($A18,1)="G",-SUMIFS(IncExcl,IncDocDate,"&gt;="&amp;DATE(YEAR(H$4),MONTH(H$4),1),IncDocDate,"&lt;="&amp;H$4,IncAccount,LEFT($A18,5)&amp;"*")+SUMIFS(ExpExcl,ExpDocDate,"&gt;="&amp;DATE(YEAR(H$4),MONTH(H$4),1),ExpDocDate,"&lt;="&amp;H$4,ExpAccount,LEFT($A18,5)&amp;"*"),-SUMIFS(IncExcl,IncDocDate,"&gt;="&amp;DATE(YEAR(H$4),MONTH(H$4),1),IncDocDate,"&lt;="&amp;H$4,IncAccount,$A18)+SUMIFS(ExpExcl,ExpDocDate,"&gt;="&amp;DATE(YEAR(H$4),MONTH(H$4),1),ExpDocDate,"&lt;="&amp;H$4,ExpAccount,$A18))</f>
        <v>0</v>
      </c>
      <c r="I18" s="34" cm="1">
        <f t="array" aca="1" ref="I18" ca="1">IF(RIGHT($A18,1)="G",-SUMIFS(IncExcl,IncDocDate,"&gt;="&amp;DATE(YEAR(I$4),MONTH(I$4),1),IncDocDate,"&lt;="&amp;I$4,IncAccount,LEFT($A18,5)&amp;"*")+SUMIFS(ExpExcl,ExpDocDate,"&gt;="&amp;DATE(YEAR(I$4),MONTH(I$4),1),ExpDocDate,"&lt;="&amp;I$4,ExpAccount,LEFT($A18,5)&amp;"*"),-SUMIFS(IncExcl,IncDocDate,"&gt;="&amp;DATE(YEAR(I$4),MONTH(I$4),1),IncDocDate,"&lt;="&amp;I$4,IncAccount,$A18)+SUMIFS(ExpExcl,ExpDocDate,"&gt;="&amp;DATE(YEAR(I$4),MONTH(I$4),1),ExpDocDate,"&lt;="&amp;I$4,ExpAccount,$A18))</f>
        <v>0</v>
      </c>
      <c r="J18" s="34" cm="1">
        <f t="array" aca="1" ref="J18" ca="1">IF(RIGHT($A18,1)="G",-SUMIFS(IncExcl,IncDocDate,"&gt;="&amp;DATE(YEAR(J$4),MONTH(J$4),1),IncDocDate,"&lt;="&amp;J$4,IncAccount,LEFT($A18,5)&amp;"*")+SUMIFS(ExpExcl,ExpDocDate,"&gt;="&amp;DATE(YEAR(J$4),MONTH(J$4),1),ExpDocDate,"&lt;="&amp;J$4,ExpAccount,LEFT($A18,5)&amp;"*"),-SUMIFS(IncExcl,IncDocDate,"&gt;="&amp;DATE(YEAR(J$4),MONTH(J$4),1),IncDocDate,"&lt;="&amp;J$4,IncAccount,$A18)+SUMIFS(ExpExcl,ExpDocDate,"&gt;="&amp;DATE(YEAR(J$4),MONTH(J$4),1),ExpDocDate,"&lt;="&amp;J$4,ExpAccount,$A18))</f>
        <v>0</v>
      </c>
      <c r="K18" s="34" cm="1">
        <f t="array" aca="1" ref="K18" ca="1">IF(RIGHT($A18,1)="G",-SUMIFS(IncExcl,IncDocDate,"&gt;="&amp;DATE(YEAR(K$4),MONTH(K$4),1),IncDocDate,"&lt;="&amp;K$4,IncAccount,LEFT($A18,5)&amp;"*")+SUMIFS(ExpExcl,ExpDocDate,"&gt;="&amp;DATE(YEAR(K$4),MONTH(K$4),1),ExpDocDate,"&lt;="&amp;K$4,ExpAccount,LEFT($A18,5)&amp;"*"),-SUMIFS(IncExcl,IncDocDate,"&gt;="&amp;DATE(YEAR(K$4),MONTH(K$4),1),IncDocDate,"&lt;="&amp;K$4,IncAccount,$A18)+SUMIFS(ExpExcl,ExpDocDate,"&gt;="&amp;DATE(YEAR(K$4),MONTH(K$4),1),ExpDocDate,"&lt;="&amp;K$4,ExpAccount,$A18))</f>
        <v>0</v>
      </c>
      <c r="L18" s="34" cm="1">
        <f t="array" aca="1" ref="L18" ca="1">IF(RIGHT($A18,1)="G",-SUMIFS(IncExcl,IncDocDate,"&gt;="&amp;DATE(YEAR(L$4),MONTH(L$4),1),IncDocDate,"&lt;="&amp;L$4,IncAccount,LEFT($A18,5)&amp;"*")+SUMIFS(ExpExcl,ExpDocDate,"&gt;="&amp;DATE(YEAR(L$4),MONTH(L$4),1),ExpDocDate,"&lt;="&amp;L$4,ExpAccount,LEFT($A18,5)&amp;"*"),-SUMIFS(IncExcl,IncDocDate,"&gt;="&amp;DATE(YEAR(L$4),MONTH(L$4),1),IncDocDate,"&lt;="&amp;L$4,IncAccount,$A18)+SUMIFS(ExpExcl,ExpDocDate,"&gt;="&amp;DATE(YEAR(L$4),MONTH(L$4),1),ExpDocDate,"&lt;="&amp;L$4,ExpAccount,$A18))</f>
        <v>0</v>
      </c>
      <c r="M18" s="34" cm="1">
        <f t="array" aca="1" ref="M18" ca="1">IF(RIGHT($A18,1)="G",-SUMIFS(IncExcl,IncDocDate,"&gt;="&amp;DATE(YEAR(M$4),MONTH(M$4),1),IncDocDate,"&lt;="&amp;M$4,IncAccount,LEFT($A18,5)&amp;"*")+SUMIFS(ExpExcl,ExpDocDate,"&gt;="&amp;DATE(YEAR(M$4),MONTH(M$4),1),ExpDocDate,"&lt;="&amp;M$4,ExpAccount,LEFT($A18,5)&amp;"*"),-SUMIFS(IncExcl,IncDocDate,"&gt;="&amp;DATE(YEAR(M$4),MONTH(M$4),1),IncDocDate,"&lt;="&amp;M$4,IncAccount,$A18)+SUMIFS(ExpExcl,ExpDocDate,"&gt;="&amp;DATE(YEAR(M$4),MONTH(M$4),1),ExpDocDate,"&lt;="&amp;M$4,ExpAccount,$A18))</f>
        <v>0</v>
      </c>
      <c r="N18" s="34" cm="1">
        <f t="array" aca="1" ref="N18" ca="1">IF(RIGHT($A18,1)="G",-SUMIFS(IncExcl,IncDocDate,"&gt;="&amp;DATE(YEAR(N$4),MONTH(N$4),1),IncDocDate,"&lt;="&amp;N$4,IncAccount,LEFT($A18,5)&amp;"*")+SUMIFS(ExpExcl,ExpDocDate,"&gt;="&amp;DATE(YEAR(N$4),MONTH(N$4),1),ExpDocDate,"&lt;="&amp;N$4,ExpAccount,LEFT($A18,5)&amp;"*"),-SUMIFS(IncExcl,IncDocDate,"&gt;="&amp;DATE(YEAR(N$4),MONTH(N$4),1),IncDocDate,"&lt;="&amp;N$4,IncAccount,$A18)+SUMIFS(ExpExcl,ExpDocDate,"&gt;="&amp;DATE(YEAR(N$4),MONTH(N$4),1),ExpDocDate,"&lt;="&amp;N$4,ExpAccount,$A18))</f>
        <v>0</v>
      </c>
      <c r="O18" s="188">
        <f t="shared" ca="1" si="3"/>
        <v>0</v>
      </c>
      <c r="P18" s="188" cm="1">
        <f t="array" aca="1" ref="P18" ca="1">IF(RIGHT($A18,1)="G",-SUMIFS(IncExcl,IncDocDate,"&gt;="&amp;$P$2,IncDocDate,"&lt;="&amp;$P$3,IncAccount,LEFT($A18,5)&amp;"*")+SUMIFS(ExpExcl,ExpDocDate,"&gt;="&amp;$P$2,ExpDocDate,"&lt;="&amp;$P$3,ExpAccount,LEFT($A18,5)&amp;"*"),-SUMIFS(IncExcl,IncDocDate,"&gt;="&amp;$P$2,IncDocDate,"&lt;="&amp;$P$3,IncAccount,$A18)+SUMIFS(ExpExcl,ExpDocDate,"&gt;="&amp;$P$2,ExpDocDate,"&lt;="&amp;$P$3,ExpAccount,$A18))</f>
        <v>0</v>
      </c>
    </row>
    <row r="19" spans="1:16" ht="15.95" customHeight="1" x14ac:dyDescent="0.3">
      <c r="A19" s="277" t="s">
        <v>189</v>
      </c>
      <c r="B19" s="12" t="str">
        <f ca="1">IF(RIGHT($A19,1)="G",IF(ISNA(VLOOKUP(LEFT($A19,LEN($A19)-1),GroupAll,COLUMN(Groups!$B$4),0)),"Group Not Found",VLOOKUP(LEFT($A19,LEN($A19)-1),GroupAll,COLUMN(Groups!$B$4),0)),IF(ISNA(VLOOKUP($A19,AccountAll,COLUMN(TB!$B$4),0)),"Account Not Found",VLOOKUP($A19,AccountAll,COLUMN(TB!$B$4),0)))</f>
        <v>Entertainment</v>
      </c>
      <c r="C19" s="34" cm="1">
        <f t="array" aca="1" ref="C19" ca="1">IF(RIGHT($A19,1)="G",-SUMIFS(IncExcl,IncDocDate,"&gt;="&amp;DATE(YEAR(C$4),MONTH(C$4),1),IncDocDate,"&lt;="&amp;C$4,IncAccount,LEFT($A19,5)&amp;"*")+SUMIFS(ExpExcl,ExpDocDate,"&gt;="&amp;DATE(YEAR(C$4),MONTH(C$4),1),ExpDocDate,"&lt;="&amp;C$4,ExpAccount,LEFT($A19,5)&amp;"*"),-SUMIFS(IncExcl,IncDocDate,"&gt;="&amp;DATE(YEAR(C$4),MONTH(C$4),1),IncDocDate,"&lt;="&amp;C$4,IncAccount,$A19)+SUMIFS(ExpExcl,ExpDocDate,"&gt;="&amp;DATE(YEAR(C$4),MONTH(C$4),1),ExpDocDate,"&lt;="&amp;C$4,ExpAccount,$A19))</f>
        <v>0</v>
      </c>
      <c r="D19" s="34" cm="1">
        <f t="array" aca="1" ref="D19" ca="1">IF(RIGHT($A19,1)="G",-SUMIFS(IncExcl,IncDocDate,"&gt;="&amp;DATE(YEAR(D$4),MONTH(D$4),1),IncDocDate,"&lt;="&amp;D$4,IncAccount,LEFT($A19,5)&amp;"*")+SUMIFS(ExpExcl,ExpDocDate,"&gt;="&amp;DATE(YEAR(D$4),MONTH(D$4),1),ExpDocDate,"&lt;="&amp;D$4,ExpAccount,LEFT($A19,5)&amp;"*"),-SUMIFS(IncExcl,IncDocDate,"&gt;="&amp;DATE(YEAR(D$4),MONTH(D$4),1),IncDocDate,"&lt;="&amp;D$4,IncAccount,$A19)+SUMIFS(ExpExcl,ExpDocDate,"&gt;="&amp;DATE(YEAR(D$4),MONTH(D$4),1),ExpDocDate,"&lt;="&amp;D$4,ExpAccount,$A19))</f>
        <v>0</v>
      </c>
      <c r="E19" s="34" cm="1">
        <f t="array" aca="1" ref="E19" ca="1">IF(RIGHT($A19,1)="G",-SUMIFS(IncExcl,IncDocDate,"&gt;="&amp;DATE(YEAR(E$4),MONTH(E$4),1),IncDocDate,"&lt;="&amp;E$4,IncAccount,LEFT($A19,5)&amp;"*")+SUMIFS(ExpExcl,ExpDocDate,"&gt;="&amp;DATE(YEAR(E$4),MONTH(E$4),1),ExpDocDate,"&lt;="&amp;E$4,ExpAccount,LEFT($A19,5)&amp;"*"),-SUMIFS(IncExcl,IncDocDate,"&gt;="&amp;DATE(YEAR(E$4),MONTH(E$4),1),IncDocDate,"&lt;="&amp;E$4,IncAccount,$A19)+SUMIFS(ExpExcl,ExpDocDate,"&gt;="&amp;DATE(YEAR(E$4),MONTH(E$4),1),ExpDocDate,"&lt;="&amp;E$4,ExpAccount,$A19))</f>
        <v>0</v>
      </c>
      <c r="F19" s="34" cm="1">
        <f t="array" aca="1" ref="F19" ca="1">IF(RIGHT($A19,1)="G",-SUMIFS(IncExcl,IncDocDate,"&gt;="&amp;DATE(YEAR(F$4),MONTH(F$4),1),IncDocDate,"&lt;="&amp;F$4,IncAccount,LEFT($A19,5)&amp;"*")+SUMIFS(ExpExcl,ExpDocDate,"&gt;="&amp;DATE(YEAR(F$4),MONTH(F$4),1),ExpDocDate,"&lt;="&amp;F$4,ExpAccount,LEFT($A19,5)&amp;"*"),-SUMIFS(IncExcl,IncDocDate,"&gt;="&amp;DATE(YEAR(F$4),MONTH(F$4),1),IncDocDate,"&lt;="&amp;F$4,IncAccount,$A19)+SUMIFS(ExpExcl,ExpDocDate,"&gt;="&amp;DATE(YEAR(F$4),MONTH(F$4),1),ExpDocDate,"&lt;="&amp;F$4,ExpAccount,$A19))</f>
        <v>0</v>
      </c>
      <c r="G19" s="34" cm="1">
        <f t="array" aca="1" ref="G19" ca="1">IF(RIGHT($A19,1)="G",-SUMIFS(IncExcl,IncDocDate,"&gt;="&amp;DATE(YEAR(G$4),MONTH(G$4),1),IncDocDate,"&lt;="&amp;G$4,IncAccount,LEFT($A19,5)&amp;"*")+SUMIFS(ExpExcl,ExpDocDate,"&gt;="&amp;DATE(YEAR(G$4),MONTH(G$4),1),ExpDocDate,"&lt;="&amp;G$4,ExpAccount,LEFT($A19,5)&amp;"*"),-SUMIFS(IncExcl,IncDocDate,"&gt;="&amp;DATE(YEAR(G$4),MONTH(G$4),1),IncDocDate,"&lt;="&amp;G$4,IncAccount,$A19)+SUMIFS(ExpExcl,ExpDocDate,"&gt;="&amp;DATE(YEAR(G$4),MONTH(G$4),1),ExpDocDate,"&lt;="&amp;G$4,ExpAccount,$A19))</f>
        <v>0</v>
      </c>
      <c r="H19" s="34" cm="1">
        <f t="array" aca="1" ref="H19" ca="1">IF(RIGHT($A19,1)="G",-SUMIFS(IncExcl,IncDocDate,"&gt;="&amp;DATE(YEAR(H$4),MONTH(H$4),1),IncDocDate,"&lt;="&amp;H$4,IncAccount,LEFT($A19,5)&amp;"*")+SUMIFS(ExpExcl,ExpDocDate,"&gt;="&amp;DATE(YEAR(H$4),MONTH(H$4),1),ExpDocDate,"&lt;="&amp;H$4,ExpAccount,LEFT($A19,5)&amp;"*"),-SUMIFS(IncExcl,IncDocDate,"&gt;="&amp;DATE(YEAR(H$4),MONTH(H$4),1),IncDocDate,"&lt;="&amp;H$4,IncAccount,$A19)+SUMIFS(ExpExcl,ExpDocDate,"&gt;="&amp;DATE(YEAR(H$4),MONTH(H$4),1),ExpDocDate,"&lt;="&amp;H$4,ExpAccount,$A19))</f>
        <v>0</v>
      </c>
      <c r="I19" s="34" cm="1">
        <f t="array" aca="1" ref="I19" ca="1">IF(RIGHT($A19,1)="G",-SUMIFS(IncExcl,IncDocDate,"&gt;="&amp;DATE(YEAR(I$4),MONTH(I$4),1),IncDocDate,"&lt;="&amp;I$4,IncAccount,LEFT($A19,5)&amp;"*")+SUMIFS(ExpExcl,ExpDocDate,"&gt;="&amp;DATE(YEAR(I$4),MONTH(I$4),1),ExpDocDate,"&lt;="&amp;I$4,ExpAccount,LEFT($A19,5)&amp;"*"),-SUMIFS(IncExcl,IncDocDate,"&gt;="&amp;DATE(YEAR(I$4),MONTH(I$4),1),IncDocDate,"&lt;="&amp;I$4,IncAccount,$A19)+SUMIFS(ExpExcl,ExpDocDate,"&gt;="&amp;DATE(YEAR(I$4),MONTH(I$4),1),ExpDocDate,"&lt;="&amp;I$4,ExpAccount,$A19))</f>
        <v>0</v>
      </c>
      <c r="J19" s="34" cm="1">
        <f t="array" aca="1" ref="J19" ca="1">IF(RIGHT($A19,1)="G",-SUMIFS(IncExcl,IncDocDate,"&gt;="&amp;DATE(YEAR(J$4),MONTH(J$4),1),IncDocDate,"&lt;="&amp;J$4,IncAccount,LEFT($A19,5)&amp;"*")+SUMIFS(ExpExcl,ExpDocDate,"&gt;="&amp;DATE(YEAR(J$4),MONTH(J$4),1),ExpDocDate,"&lt;="&amp;J$4,ExpAccount,LEFT($A19,5)&amp;"*"),-SUMIFS(IncExcl,IncDocDate,"&gt;="&amp;DATE(YEAR(J$4),MONTH(J$4),1),IncDocDate,"&lt;="&amp;J$4,IncAccount,$A19)+SUMIFS(ExpExcl,ExpDocDate,"&gt;="&amp;DATE(YEAR(J$4),MONTH(J$4),1),ExpDocDate,"&lt;="&amp;J$4,ExpAccount,$A19))</f>
        <v>0</v>
      </c>
      <c r="K19" s="34" cm="1">
        <f t="array" aca="1" ref="K19" ca="1">IF(RIGHT($A19,1)="G",-SUMIFS(IncExcl,IncDocDate,"&gt;="&amp;DATE(YEAR(K$4),MONTH(K$4),1),IncDocDate,"&lt;="&amp;K$4,IncAccount,LEFT($A19,5)&amp;"*")+SUMIFS(ExpExcl,ExpDocDate,"&gt;="&amp;DATE(YEAR(K$4),MONTH(K$4),1),ExpDocDate,"&lt;="&amp;K$4,ExpAccount,LEFT($A19,5)&amp;"*"),-SUMIFS(IncExcl,IncDocDate,"&gt;="&amp;DATE(YEAR(K$4),MONTH(K$4),1),IncDocDate,"&lt;="&amp;K$4,IncAccount,$A19)+SUMIFS(ExpExcl,ExpDocDate,"&gt;="&amp;DATE(YEAR(K$4),MONTH(K$4),1),ExpDocDate,"&lt;="&amp;K$4,ExpAccount,$A19))</f>
        <v>0</v>
      </c>
      <c r="L19" s="34" cm="1">
        <f t="array" aca="1" ref="L19" ca="1">IF(RIGHT($A19,1)="G",-SUMIFS(IncExcl,IncDocDate,"&gt;="&amp;DATE(YEAR(L$4),MONTH(L$4),1),IncDocDate,"&lt;="&amp;L$4,IncAccount,LEFT($A19,5)&amp;"*")+SUMIFS(ExpExcl,ExpDocDate,"&gt;="&amp;DATE(YEAR(L$4),MONTH(L$4),1),ExpDocDate,"&lt;="&amp;L$4,ExpAccount,LEFT($A19,5)&amp;"*"),-SUMIFS(IncExcl,IncDocDate,"&gt;="&amp;DATE(YEAR(L$4),MONTH(L$4),1),IncDocDate,"&lt;="&amp;L$4,IncAccount,$A19)+SUMIFS(ExpExcl,ExpDocDate,"&gt;="&amp;DATE(YEAR(L$4),MONTH(L$4),1),ExpDocDate,"&lt;="&amp;L$4,ExpAccount,$A19))</f>
        <v>0</v>
      </c>
      <c r="M19" s="34" cm="1">
        <f t="array" aca="1" ref="M19" ca="1">IF(RIGHT($A19,1)="G",-SUMIFS(IncExcl,IncDocDate,"&gt;="&amp;DATE(YEAR(M$4),MONTH(M$4),1),IncDocDate,"&lt;="&amp;M$4,IncAccount,LEFT($A19,5)&amp;"*")+SUMIFS(ExpExcl,ExpDocDate,"&gt;="&amp;DATE(YEAR(M$4),MONTH(M$4),1),ExpDocDate,"&lt;="&amp;M$4,ExpAccount,LEFT($A19,5)&amp;"*"),-SUMIFS(IncExcl,IncDocDate,"&gt;="&amp;DATE(YEAR(M$4),MONTH(M$4),1),IncDocDate,"&lt;="&amp;M$4,IncAccount,$A19)+SUMIFS(ExpExcl,ExpDocDate,"&gt;="&amp;DATE(YEAR(M$4),MONTH(M$4),1),ExpDocDate,"&lt;="&amp;M$4,ExpAccount,$A19))</f>
        <v>0</v>
      </c>
      <c r="N19" s="34" cm="1">
        <f t="array" aca="1" ref="N19" ca="1">IF(RIGHT($A19,1)="G",-SUMIFS(IncExcl,IncDocDate,"&gt;="&amp;DATE(YEAR(N$4),MONTH(N$4),1),IncDocDate,"&lt;="&amp;N$4,IncAccount,LEFT($A19,5)&amp;"*")+SUMIFS(ExpExcl,ExpDocDate,"&gt;="&amp;DATE(YEAR(N$4),MONTH(N$4),1),ExpDocDate,"&lt;="&amp;N$4,ExpAccount,LEFT($A19,5)&amp;"*"),-SUMIFS(IncExcl,IncDocDate,"&gt;="&amp;DATE(YEAR(N$4),MONTH(N$4),1),IncDocDate,"&lt;="&amp;N$4,IncAccount,$A19)+SUMIFS(ExpExcl,ExpDocDate,"&gt;="&amp;DATE(YEAR(N$4),MONTH(N$4),1),ExpDocDate,"&lt;="&amp;N$4,ExpAccount,$A19))</f>
        <v>0</v>
      </c>
      <c r="O19" s="188">
        <f t="shared" ca="1" si="3"/>
        <v>0</v>
      </c>
      <c r="P19" s="188" cm="1">
        <f t="array" aca="1" ref="P19" ca="1">IF(RIGHT($A19,1)="G",-SUMIFS(IncExcl,IncDocDate,"&gt;="&amp;$P$2,IncDocDate,"&lt;="&amp;$P$3,IncAccount,LEFT($A19,5)&amp;"*")+SUMIFS(ExpExcl,ExpDocDate,"&gt;="&amp;$P$2,ExpDocDate,"&lt;="&amp;$P$3,ExpAccount,LEFT($A19,5)&amp;"*"),-SUMIFS(IncExcl,IncDocDate,"&gt;="&amp;$P$2,IncDocDate,"&lt;="&amp;$P$3,IncAccount,$A19)+SUMIFS(ExpExcl,ExpDocDate,"&gt;="&amp;$P$2,ExpDocDate,"&lt;="&amp;$P$3,ExpAccount,$A19))</f>
        <v>0</v>
      </c>
    </row>
    <row r="20" spans="1:16" ht="15.95" customHeight="1" x14ac:dyDescent="0.3">
      <c r="A20" s="277" t="s">
        <v>190</v>
      </c>
      <c r="B20" s="12" t="str">
        <f ca="1">IF(RIGHT($A20,1)="G",IF(ISNA(VLOOKUP(LEFT($A20,LEN($A20)-1),GroupAll,COLUMN(Groups!$B$4),0)),"Group Not Found",VLOOKUP(LEFT($A20,LEN($A20)-1),GroupAll,COLUMN(Groups!$B$4),0)),IF(ISNA(VLOOKUP($A20,AccountAll,COLUMN(TB!$B$4),0)),"Account Not Found",VLOOKUP($A20,AccountAll,COLUMN(TB!$B$4),0)))</f>
        <v>Insurance</v>
      </c>
      <c r="C20" s="34" cm="1">
        <f t="array" aca="1" ref="C20" ca="1">IF(RIGHT($A20,1)="G",-SUMIFS(IncExcl,IncDocDate,"&gt;="&amp;DATE(YEAR(C$4),MONTH(C$4),1),IncDocDate,"&lt;="&amp;C$4,IncAccount,LEFT($A20,5)&amp;"*")+SUMIFS(ExpExcl,ExpDocDate,"&gt;="&amp;DATE(YEAR(C$4),MONTH(C$4),1),ExpDocDate,"&lt;="&amp;C$4,ExpAccount,LEFT($A20,5)&amp;"*"),-SUMIFS(IncExcl,IncDocDate,"&gt;="&amp;DATE(YEAR(C$4),MONTH(C$4),1),IncDocDate,"&lt;="&amp;C$4,IncAccount,$A20)+SUMIFS(ExpExcl,ExpDocDate,"&gt;="&amp;DATE(YEAR(C$4),MONTH(C$4),1),ExpDocDate,"&lt;="&amp;C$4,ExpAccount,$A20))</f>
        <v>0</v>
      </c>
      <c r="D20" s="34" cm="1">
        <f t="array" aca="1" ref="D20" ca="1">IF(RIGHT($A20,1)="G",-SUMIFS(IncExcl,IncDocDate,"&gt;="&amp;DATE(YEAR(D$4),MONTH(D$4),1),IncDocDate,"&lt;="&amp;D$4,IncAccount,LEFT($A20,5)&amp;"*")+SUMIFS(ExpExcl,ExpDocDate,"&gt;="&amp;DATE(YEAR(D$4),MONTH(D$4),1),ExpDocDate,"&lt;="&amp;D$4,ExpAccount,LEFT($A20,5)&amp;"*"),-SUMIFS(IncExcl,IncDocDate,"&gt;="&amp;DATE(YEAR(D$4),MONTH(D$4),1),IncDocDate,"&lt;="&amp;D$4,IncAccount,$A20)+SUMIFS(ExpExcl,ExpDocDate,"&gt;="&amp;DATE(YEAR(D$4),MONTH(D$4),1),ExpDocDate,"&lt;="&amp;D$4,ExpAccount,$A20))</f>
        <v>0</v>
      </c>
      <c r="E20" s="34" cm="1">
        <f t="array" aca="1" ref="E20" ca="1">IF(RIGHT($A20,1)="G",-SUMIFS(IncExcl,IncDocDate,"&gt;="&amp;DATE(YEAR(E$4),MONTH(E$4),1),IncDocDate,"&lt;="&amp;E$4,IncAccount,LEFT($A20,5)&amp;"*")+SUMIFS(ExpExcl,ExpDocDate,"&gt;="&amp;DATE(YEAR(E$4),MONTH(E$4),1),ExpDocDate,"&lt;="&amp;E$4,ExpAccount,LEFT($A20,5)&amp;"*"),-SUMIFS(IncExcl,IncDocDate,"&gt;="&amp;DATE(YEAR(E$4),MONTH(E$4),1),IncDocDate,"&lt;="&amp;E$4,IncAccount,$A20)+SUMIFS(ExpExcl,ExpDocDate,"&gt;="&amp;DATE(YEAR(E$4),MONTH(E$4),1),ExpDocDate,"&lt;="&amp;E$4,ExpAccount,$A20))</f>
        <v>0</v>
      </c>
      <c r="F20" s="34" cm="1">
        <f t="array" aca="1" ref="F20" ca="1">IF(RIGHT($A20,1)="G",-SUMIFS(IncExcl,IncDocDate,"&gt;="&amp;DATE(YEAR(F$4),MONTH(F$4),1),IncDocDate,"&lt;="&amp;F$4,IncAccount,LEFT($A20,5)&amp;"*")+SUMIFS(ExpExcl,ExpDocDate,"&gt;="&amp;DATE(YEAR(F$4),MONTH(F$4),1),ExpDocDate,"&lt;="&amp;F$4,ExpAccount,LEFT($A20,5)&amp;"*"),-SUMIFS(IncExcl,IncDocDate,"&gt;="&amp;DATE(YEAR(F$4),MONTH(F$4),1),IncDocDate,"&lt;="&amp;F$4,IncAccount,$A20)+SUMIFS(ExpExcl,ExpDocDate,"&gt;="&amp;DATE(YEAR(F$4),MONTH(F$4),1),ExpDocDate,"&lt;="&amp;F$4,ExpAccount,$A20))</f>
        <v>0</v>
      </c>
      <c r="G20" s="34" cm="1">
        <f t="array" aca="1" ref="G20" ca="1">IF(RIGHT($A20,1)="G",-SUMIFS(IncExcl,IncDocDate,"&gt;="&amp;DATE(YEAR(G$4),MONTH(G$4),1),IncDocDate,"&lt;="&amp;G$4,IncAccount,LEFT($A20,5)&amp;"*")+SUMIFS(ExpExcl,ExpDocDate,"&gt;="&amp;DATE(YEAR(G$4),MONTH(G$4),1),ExpDocDate,"&lt;="&amp;G$4,ExpAccount,LEFT($A20,5)&amp;"*"),-SUMIFS(IncExcl,IncDocDate,"&gt;="&amp;DATE(YEAR(G$4),MONTH(G$4),1),IncDocDate,"&lt;="&amp;G$4,IncAccount,$A20)+SUMIFS(ExpExcl,ExpDocDate,"&gt;="&amp;DATE(YEAR(G$4),MONTH(G$4),1),ExpDocDate,"&lt;="&amp;G$4,ExpAccount,$A20))</f>
        <v>0</v>
      </c>
      <c r="H20" s="34" cm="1">
        <f t="array" aca="1" ref="H20" ca="1">IF(RIGHT($A20,1)="G",-SUMIFS(IncExcl,IncDocDate,"&gt;="&amp;DATE(YEAR(H$4),MONTH(H$4),1),IncDocDate,"&lt;="&amp;H$4,IncAccount,LEFT($A20,5)&amp;"*")+SUMIFS(ExpExcl,ExpDocDate,"&gt;="&amp;DATE(YEAR(H$4),MONTH(H$4),1),ExpDocDate,"&lt;="&amp;H$4,ExpAccount,LEFT($A20,5)&amp;"*"),-SUMIFS(IncExcl,IncDocDate,"&gt;="&amp;DATE(YEAR(H$4),MONTH(H$4),1),IncDocDate,"&lt;="&amp;H$4,IncAccount,$A20)+SUMIFS(ExpExcl,ExpDocDate,"&gt;="&amp;DATE(YEAR(H$4),MONTH(H$4),1),ExpDocDate,"&lt;="&amp;H$4,ExpAccount,$A20))</f>
        <v>0</v>
      </c>
      <c r="I20" s="34" cm="1">
        <f t="array" aca="1" ref="I20" ca="1">IF(RIGHT($A20,1)="G",-SUMIFS(IncExcl,IncDocDate,"&gt;="&amp;DATE(YEAR(I$4),MONTH(I$4),1),IncDocDate,"&lt;="&amp;I$4,IncAccount,LEFT($A20,5)&amp;"*")+SUMIFS(ExpExcl,ExpDocDate,"&gt;="&amp;DATE(YEAR(I$4),MONTH(I$4),1),ExpDocDate,"&lt;="&amp;I$4,ExpAccount,LEFT($A20,5)&amp;"*"),-SUMIFS(IncExcl,IncDocDate,"&gt;="&amp;DATE(YEAR(I$4),MONTH(I$4),1),IncDocDate,"&lt;="&amp;I$4,IncAccount,$A20)+SUMIFS(ExpExcl,ExpDocDate,"&gt;="&amp;DATE(YEAR(I$4),MONTH(I$4),1),ExpDocDate,"&lt;="&amp;I$4,ExpAccount,$A20))</f>
        <v>0</v>
      </c>
      <c r="J20" s="34" cm="1">
        <f t="array" aca="1" ref="J20" ca="1">IF(RIGHT($A20,1)="G",-SUMIFS(IncExcl,IncDocDate,"&gt;="&amp;DATE(YEAR(J$4),MONTH(J$4),1),IncDocDate,"&lt;="&amp;J$4,IncAccount,LEFT($A20,5)&amp;"*")+SUMIFS(ExpExcl,ExpDocDate,"&gt;="&amp;DATE(YEAR(J$4),MONTH(J$4),1),ExpDocDate,"&lt;="&amp;J$4,ExpAccount,LEFT($A20,5)&amp;"*"),-SUMIFS(IncExcl,IncDocDate,"&gt;="&amp;DATE(YEAR(J$4),MONTH(J$4),1),IncDocDate,"&lt;="&amp;J$4,IncAccount,$A20)+SUMIFS(ExpExcl,ExpDocDate,"&gt;="&amp;DATE(YEAR(J$4),MONTH(J$4),1),ExpDocDate,"&lt;="&amp;J$4,ExpAccount,$A20))</f>
        <v>0</v>
      </c>
      <c r="K20" s="34" cm="1">
        <f t="array" aca="1" ref="K20" ca="1">IF(RIGHT($A20,1)="G",-SUMIFS(IncExcl,IncDocDate,"&gt;="&amp;DATE(YEAR(K$4),MONTH(K$4),1),IncDocDate,"&lt;="&amp;K$4,IncAccount,LEFT($A20,5)&amp;"*")+SUMIFS(ExpExcl,ExpDocDate,"&gt;="&amp;DATE(YEAR(K$4),MONTH(K$4),1),ExpDocDate,"&lt;="&amp;K$4,ExpAccount,LEFT($A20,5)&amp;"*"),-SUMIFS(IncExcl,IncDocDate,"&gt;="&amp;DATE(YEAR(K$4),MONTH(K$4),1),IncDocDate,"&lt;="&amp;K$4,IncAccount,$A20)+SUMIFS(ExpExcl,ExpDocDate,"&gt;="&amp;DATE(YEAR(K$4),MONTH(K$4),1),ExpDocDate,"&lt;="&amp;K$4,ExpAccount,$A20))</f>
        <v>0</v>
      </c>
      <c r="L20" s="34" cm="1">
        <f t="array" aca="1" ref="L20" ca="1">IF(RIGHT($A20,1)="G",-SUMIFS(IncExcl,IncDocDate,"&gt;="&amp;DATE(YEAR(L$4),MONTH(L$4),1),IncDocDate,"&lt;="&amp;L$4,IncAccount,LEFT($A20,5)&amp;"*")+SUMIFS(ExpExcl,ExpDocDate,"&gt;="&amp;DATE(YEAR(L$4),MONTH(L$4),1),ExpDocDate,"&lt;="&amp;L$4,ExpAccount,LEFT($A20,5)&amp;"*"),-SUMIFS(IncExcl,IncDocDate,"&gt;="&amp;DATE(YEAR(L$4),MONTH(L$4),1),IncDocDate,"&lt;="&amp;L$4,IncAccount,$A20)+SUMIFS(ExpExcl,ExpDocDate,"&gt;="&amp;DATE(YEAR(L$4),MONTH(L$4),1),ExpDocDate,"&lt;="&amp;L$4,ExpAccount,$A20))</f>
        <v>0</v>
      </c>
      <c r="M20" s="34" cm="1">
        <f t="array" aca="1" ref="M20" ca="1">IF(RIGHT($A20,1)="G",-SUMIFS(IncExcl,IncDocDate,"&gt;="&amp;DATE(YEAR(M$4),MONTH(M$4),1),IncDocDate,"&lt;="&amp;M$4,IncAccount,LEFT($A20,5)&amp;"*")+SUMIFS(ExpExcl,ExpDocDate,"&gt;="&amp;DATE(YEAR(M$4),MONTH(M$4),1),ExpDocDate,"&lt;="&amp;M$4,ExpAccount,LEFT($A20,5)&amp;"*"),-SUMIFS(IncExcl,IncDocDate,"&gt;="&amp;DATE(YEAR(M$4),MONTH(M$4),1),IncDocDate,"&lt;="&amp;M$4,IncAccount,$A20)+SUMIFS(ExpExcl,ExpDocDate,"&gt;="&amp;DATE(YEAR(M$4),MONTH(M$4),1),ExpDocDate,"&lt;="&amp;M$4,ExpAccount,$A20))</f>
        <v>0</v>
      </c>
      <c r="N20" s="34" cm="1">
        <f t="array" aca="1" ref="N20" ca="1">IF(RIGHT($A20,1)="G",-SUMIFS(IncExcl,IncDocDate,"&gt;="&amp;DATE(YEAR(N$4),MONTH(N$4),1),IncDocDate,"&lt;="&amp;N$4,IncAccount,LEFT($A20,5)&amp;"*")+SUMIFS(ExpExcl,ExpDocDate,"&gt;="&amp;DATE(YEAR(N$4),MONTH(N$4),1),ExpDocDate,"&lt;="&amp;N$4,ExpAccount,LEFT($A20,5)&amp;"*"),-SUMIFS(IncExcl,IncDocDate,"&gt;="&amp;DATE(YEAR(N$4),MONTH(N$4),1),IncDocDate,"&lt;="&amp;N$4,IncAccount,$A20)+SUMIFS(ExpExcl,ExpDocDate,"&gt;="&amp;DATE(YEAR(N$4),MONTH(N$4),1),ExpDocDate,"&lt;="&amp;N$4,ExpAccount,$A20))</f>
        <v>0</v>
      </c>
      <c r="O20" s="188">
        <f t="shared" ca="1" si="3"/>
        <v>0</v>
      </c>
      <c r="P20" s="188" cm="1">
        <f t="array" aca="1" ref="P20" ca="1">IF(RIGHT($A20,1)="G",-SUMIFS(IncExcl,IncDocDate,"&gt;="&amp;$P$2,IncDocDate,"&lt;="&amp;$P$3,IncAccount,LEFT($A20,5)&amp;"*")+SUMIFS(ExpExcl,ExpDocDate,"&gt;="&amp;$P$2,ExpDocDate,"&lt;="&amp;$P$3,ExpAccount,LEFT($A20,5)&amp;"*"),-SUMIFS(IncExcl,IncDocDate,"&gt;="&amp;$P$2,IncDocDate,"&lt;="&amp;$P$3,IncAccount,$A20)+SUMIFS(ExpExcl,ExpDocDate,"&gt;="&amp;$P$2,ExpDocDate,"&lt;="&amp;$P$3,ExpAccount,$A20))</f>
        <v>0</v>
      </c>
    </row>
    <row r="21" spans="1:16" ht="15.95" customHeight="1" x14ac:dyDescent="0.3">
      <c r="A21" s="277" t="s">
        <v>191</v>
      </c>
      <c r="B21" s="12" t="str">
        <f ca="1">IF(RIGHT($A21,1)="G",IF(ISNA(VLOOKUP(LEFT($A21,LEN($A21)-1),GroupAll,COLUMN(Groups!$B$4),0)),"Group Not Found",VLOOKUP(LEFT($A21,LEN($A21)-1),GroupAll,COLUMN(Groups!$B$4),0)),IF(ISNA(VLOOKUP($A21,AccountAll,COLUMN(TB!$B$4),0)),"Account Not Found",VLOOKUP($A21,AccountAll,COLUMN(TB!$B$4),0)))</f>
        <v>Office Expenses</v>
      </c>
      <c r="C21" s="34" cm="1">
        <f t="array" aca="1" ref="C21" ca="1">IF(RIGHT($A21,1)="G",-SUMIFS(IncExcl,IncDocDate,"&gt;="&amp;DATE(YEAR(C$4),MONTH(C$4),1),IncDocDate,"&lt;="&amp;C$4,IncAccount,LEFT($A21,5)&amp;"*")+SUMIFS(ExpExcl,ExpDocDate,"&gt;="&amp;DATE(YEAR(C$4),MONTH(C$4),1),ExpDocDate,"&lt;="&amp;C$4,ExpAccount,LEFT($A21,5)&amp;"*"),-SUMIFS(IncExcl,IncDocDate,"&gt;="&amp;DATE(YEAR(C$4),MONTH(C$4),1),IncDocDate,"&lt;="&amp;C$4,IncAccount,$A21)+SUMIFS(ExpExcl,ExpDocDate,"&gt;="&amp;DATE(YEAR(C$4),MONTH(C$4),1),ExpDocDate,"&lt;="&amp;C$4,ExpAccount,$A21))</f>
        <v>0</v>
      </c>
      <c r="D21" s="34" cm="1">
        <f t="array" aca="1" ref="D21" ca="1">IF(RIGHT($A21,1)="G",-SUMIFS(IncExcl,IncDocDate,"&gt;="&amp;DATE(YEAR(D$4),MONTH(D$4),1),IncDocDate,"&lt;="&amp;D$4,IncAccount,LEFT($A21,5)&amp;"*")+SUMIFS(ExpExcl,ExpDocDate,"&gt;="&amp;DATE(YEAR(D$4),MONTH(D$4),1),ExpDocDate,"&lt;="&amp;D$4,ExpAccount,LEFT($A21,5)&amp;"*"),-SUMIFS(IncExcl,IncDocDate,"&gt;="&amp;DATE(YEAR(D$4),MONTH(D$4),1),IncDocDate,"&lt;="&amp;D$4,IncAccount,$A21)+SUMIFS(ExpExcl,ExpDocDate,"&gt;="&amp;DATE(YEAR(D$4),MONTH(D$4),1),ExpDocDate,"&lt;="&amp;D$4,ExpAccount,$A21))</f>
        <v>0</v>
      </c>
      <c r="E21" s="34" cm="1">
        <f t="array" aca="1" ref="E21" ca="1">IF(RIGHT($A21,1)="G",-SUMIFS(IncExcl,IncDocDate,"&gt;="&amp;DATE(YEAR(E$4),MONTH(E$4),1),IncDocDate,"&lt;="&amp;E$4,IncAccount,LEFT($A21,5)&amp;"*")+SUMIFS(ExpExcl,ExpDocDate,"&gt;="&amp;DATE(YEAR(E$4),MONTH(E$4),1),ExpDocDate,"&lt;="&amp;E$4,ExpAccount,LEFT($A21,5)&amp;"*"),-SUMIFS(IncExcl,IncDocDate,"&gt;="&amp;DATE(YEAR(E$4),MONTH(E$4),1),IncDocDate,"&lt;="&amp;E$4,IncAccount,$A21)+SUMIFS(ExpExcl,ExpDocDate,"&gt;="&amp;DATE(YEAR(E$4),MONTH(E$4),1),ExpDocDate,"&lt;="&amp;E$4,ExpAccount,$A21))</f>
        <v>0</v>
      </c>
      <c r="F21" s="34" cm="1">
        <f t="array" aca="1" ref="F21" ca="1">IF(RIGHT($A21,1)="G",-SUMIFS(IncExcl,IncDocDate,"&gt;="&amp;DATE(YEAR(F$4),MONTH(F$4),1),IncDocDate,"&lt;="&amp;F$4,IncAccount,LEFT($A21,5)&amp;"*")+SUMIFS(ExpExcl,ExpDocDate,"&gt;="&amp;DATE(YEAR(F$4),MONTH(F$4),1),ExpDocDate,"&lt;="&amp;F$4,ExpAccount,LEFT($A21,5)&amp;"*"),-SUMIFS(IncExcl,IncDocDate,"&gt;="&amp;DATE(YEAR(F$4),MONTH(F$4),1),IncDocDate,"&lt;="&amp;F$4,IncAccount,$A21)+SUMIFS(ExpExcl,ExpDocDate,"&gt;="&amp;DATE(YEAR(F$4),MONTH(F$4),1),ExpDocDate,"&lt;="&amp;F$4,ExpAccount,$A21))</f>
        <v>0</v>
      </c>
      <c r="G21" s="34" cm="1">
        <f t="array" aca="1" ref="G21" ca="1">IF(RIGHT($A21,1)="G",-SUMIFS(IncExcl,IncDocDate,"&gt;="&amp;DATE(YEAR(G$4),MONTH(G$4),1),IncDocDate,"&lt;="&amp;G$4,IncAccount,LEFT($A21,5)&amp;"*")+SUMIFS(ExpExcl,ExpDocDate,"&gt;="&amp;DATE(YEAR(G$4),MONTH(G$4),1),ExpDocDate,"&lt;="&amp;G$4,ExpAccount,LEFT($A21,5)&amp;"*"),-SUMIFS(IncExcl,IncDocDate,"&gt;="&amp;DATE(YEAR(G$4),MONTH(G$4),1),IncDocDate,"&lt;="&amp;G$4,IncAccount,$A21)+SUMIFS(ExpExcl,ExpDocDate,"&gt;="&amp;DATE(YEAR(G$4),MONTH(G$4),1),ExpDocDate,"&lt;="&amp;G$4,ExpAccount,$A21))</f>
        <v>0</v>
      </c>
      <c r="H21" s="34" cm="1">
        <f t="array" aca="1" ref="H21" ca="1">IF(RIGHT($A21,1)="G",-SUMIFS(IncExcl,IncDocDate,"&gt;="&amp;DATE(YEAR(H$4),MONTH(H$4),1),IncDocDate,"&lt;="&amp;H$4,IncAccount,LEFT($A21,5)&amp;"*")+SUMIFS(ExpExcl,ExpDocDate,"&gt;="&amp;DATE(YEAR(H$4),MONTH(H$4),1),ExpDocDate,"&lt;="&amp;H$4,ExpAccount,LEFT($A21,5)&amp;"*"),-SUMIFS(IncExcl,IncDocDate,"&gt;="&amp;DATE(YEAR(H$4),MONTH(H$4),1),IncDocDate,"&lt;="&amp;H$4,IncAccount,$A21)+SUMIFS(ExpExcl,ExpDocDate,"&gt;="&amp;DATE(YEAR(H$4),MONTH(H$4),1),ExpDocDate,"&lt;="&amp;H$4,ExpAccount,$A21))</f>
        <v>0</v>
      </c>
      <c r="I21" s="34" cm="1">
        <f t="array" aca="1" ref="I21" ca="1">IF(RIGHT($A21,1)="G",-SUMIFS(IncExcl,IncDocDate,"&gt;="&amp;DATE(YEAR(I$4),MONTH(I$4),1),IncDocDate,"&lt;="&amp;I$4,IncAccount,LEFT($A21,5)&amp;"*")+SUMIFS(ExpExcl,ExpDocDate,"&gt;="&amp;DATE(YEAR(I$4),MONTH(I$4),1),ExpDocDate,"&lt;="&amp;I$4,ExpAccount,LEFT($A21,5)&amp;"*"),-SUMIFS(IncExcl,IncDocDate,"&gt;="&amp;DATE(YEAR(I$4),MONTH(I$4),1),IncDocDate,"&lt;="&amp;I$4,IncAccount,$A21)+SUMIFS(ExpExcl,ExpDocDate,"&gt;="&amp;DATE(YEAR(I$4),MONTH(I$4),1),ExpDocDate,"&lt;="&amp;I$4,ExpAccount,$A21))</f>
        <v>0</v>
      </c>
      <c r="J21" s="34" cm="1">
        <f t="array" aca="1" ref="J21" ca="1">IF(RIGHT($A21,1)="G",-SUMIFS(IncExcl,IncDocDate,"&gt;="&amp;DATE(YEAR(J$4),MONTH(J$4),1),IncDocDate,"&lt;="&amp;J$4,IncAccount,LEFT($A21,5)&amp;"*")+SUMIFS(ExpExcl,ExpDocDate,"&gt;="&amp;DATE(YEAR(J$4),MONTH(J$4),1),ExpDocDate,"&lt;="&amp;J$4,ExpAccount,LEFT($A21,5)&amp;"*"),-SUMIFS(IncExcl,IncDocDate,"&gt;="&amp;DATE(YEAR(J$4),MONTH(J$4),1),IncDocDate,"&lt;="&amp;J$4,IncAccount,$A21)+SUMIFS(ExpExcl,ExpDocDate,"&gt;="&amp;DATE(YEAR(J$4),MONTH(J$4),1),ExpDocDate,"&lt;="&amp;J$4,ExpAccount,$A21))</f>
        <v>0</v>
      </c>
      <c r="K21" s="34" cm="1">
        <f t="array" aca="1" ref="K21" ca="1">IF(RIGHT($A21,1)="G",-SUMIFS(IncExcl,IncDocDate,"&gt;="&amp;DATE(YEAR(K$4),MONTH(K$4),1),IncDocDate,"&lt;="&amp;K$4,IncAccount,LEFT($A21,5)&amp;"*")+SUMIFS(ExpExcl,ExpDocDate,"&gt;="&amp;DATE(YEAR(K$4),MONTH(K$4),1),ExpDocDate,"&lt;="&amp;K$4,ExpAccount,LEFT($A21,5)&amp;"*"),-SUMIFS(IncExcl,IncDocDate,"&gt;="&amp;DATE(YEAR(K$4),MONTH(K$4),1),IncDocDate,"&lt;="&amp;K$4,IncAccount,$A21)+SUMIFS(ExpExcl,ExpDocDate,"&gt;="&amp;DATE(YEAR(K$4),MONTH(K$4),1),ExpDocDate,"&lt;="&amp;K$4,ExpAccount,$A21))</f>
        <v>0</v>
      </c>
      <c r="L21" s="34" cm="1">
        <f t="array" aca="1" ref="L21" ca="1">IF(RIGHT($A21,1)="G",-SUMIFS(IncExcl,IncDocDate,"&gt;="&amp;DATE(YEAR(L$4),MONTH(L$4),1),IncDocDate,"&lt;="&amp;L$4,IncAccount,LEFT($A21,5)&amp;"*")+SUMIFS(ExpExcl,ExpDocDate,"&gt;="&amp;DATE(YEAR(L$4),MONTH(L$4),1),ExpDocDate,"&lt;="&amp;L$4,ExpAccount,LEFT($A21,5)&amp;"*"),-SUMIFS(IncExcl,IncDocDate,"&gt;="&amp;DATE(YEAR(L$4),MONTH(L$4),1),IncDocDate,"&lt;="&amp;L$4,IncAccount,$A21)+SUMIFS(ExpExcl,ExpDocDate,"&gt;="&amp;DATE(YEAR(L$4),MONTH(L$4),1),ExpDocDate,"&lt;="&amp;L$4,ExpAccount,$A21))</f>
        <v>0</v>
      </c>
      <c r="M21" s="34" cm="1">
        <f t="array" aca="1" ref="M21" ca="1">IF(RIGHT($A21,1)="G",-SUMIFS(IncExcl,IncDocDate,"&gt;="&amp;DATE(YEAR(M$4),MONTH(M$4),1),IncDocDate,"&lt;="&amp;M$4,IncAccount,LEFT($A21,5)&amp;"*")+SUMIFS(ExpExcl,ExpDocDate,"&gt;="&amp;DATE(YEAR(M$4),MONTH(M$4),1),ExpDocDate,"&lt;="&amp;M$4,ExpAccount,LEFT($A21,5)&amp;"*"),-SUMIFS(IncExcl,IncDocDate,"&gt;="&amp;DATE(YEAR(M$4),MONTH(M$4),1),IncDocDate,"&lt;="&amp;M$4,IncAccount,$A21)+SUMIFS(ExpExcl,ExpDocDate,"&gt;="&amp;DATE(YEAR(M$4),MONTH(M$4),1),ExpDocDate,"&lt;="&amp;M$4,ExpAccount,$A21))</f>
        <v>0</v>
      </c>
      <c r="N21" s="34" cm="1">
        <f t="array" aca="1" ref="N21" ca="1">IF(RIGHT($A21,1)="G",-SUMIFS(IncExcl,IncDocDate,"&gt;="&amp;DATE(YEAR(N$4),MONTH(N$4),1),IncDocDate,"&lt;="&amp;N$4,IncAccount,LEFT($A21,5)&amp;"*")+SUMIFS(ExpExcl,ExpDocDate,"&gt;="&amp;DATE(YEAR(N$4),MONTH(N$4),1),ExpDocDate,"&lt;="&amp;N$4,ExpAccount,LEFT($A21,5)&amp;"*"),-SUMIFS(IncExcl,IncDocDate,"&gt;="&amp;DATE(YEAR(N$4),MONTH(N$4),1),IncDocDate,"&lt;="&amp;N$4,IncAccount,$A21)+SUMIFS(ExpExcl,ExpDocDate,"&gt;="&amp;DATE(YEAR(N$4),MONTH(N$4),1),ExpDocDate,"&lt;="&amp;N$4,ExpAccount,$A21))</f>
        <v>0</v>
      </c>
      <c r="O21" s="188">
        <f t="shared" ca="1" si="3"/>
        <v>0</v>
      </c>
      <c r="P21" s="188" cm="1">
        <f t="array" aca="1" ref="P21" ca="1">IF(RIGHT($A21,1)="G",-SUMIFS(IncExcl,IncDocDate,"&gt;="&amp;$P$2,IncDocDate,"&lt;="&amp;$P$3,IncAccount,LEFT($A21,5)&amp;"*")+SUMIFS(ExpExcl,ExpDocDate,"&gt;="&amp;$P$2,ExpDocDate,"&lt;="&amp;$P$3,ExpAccount,LEFT($A21,5)&amp;"*"),-SUMIFS(IncExcl,IncDocDate,"&gt;="&amp;$P$2,IncDocDate,"&lt;="&amp;$P$3,IncAccount,$A21)+SUMIFS(ExpExcl,ExpDocDate,"&gt;="&amp;$P$2,ExpDocDate,"&lt;="&amp;$P$3,ExpAccount,$A21))</f>
        <v>0</v>
      </c>
    </row>
    <row r="22" spans="1:16" ht="15.95" customHeight="1" x14ac:dyDescent="0.3">
      <c r="A22" s="277" t="s">
        <v>192</v>
      </c>
      <c r="B22" s="12" t="str">
        <f ca="1">IF(RIGHT($A22,1)="G",IF(ISNA(VLOOKUP(LEFT($A22,LEN($A22)-1),GroupAll,COLUMN(Groups!$B$4),0)),"Group Not Found",VLOOKUP(LEFT($A22,LEN($A22)-1),GroupAll,COLUMN(Groups!$B$4),0)),IF(ISNA(VLOOKUP($A22,AccountAll,COLUMN(TB!$B$4),0)),"Account Not Found",VLOOKUP($A22,AccountAll,COLUMN(TB!$B$4),0)))</f>
        <v>Office Rent</v>
      </c>
      <c r="C22" s="34" cm="1">
        <f t="array" aca="1" ref="C22" ca="1">IF(RIGHT($A22,1)="G",-SUMIFS(IncExcl,IncDocDate,"&gt;="&amp;DATE(YEAR(C$4),MONTH(C$4),1),IncDocDate,"&lt;="&amp;C$4,IncAccount,LEFT($A22,5)&amp;"*")+SUMIFS(ExpExcl,ExpDocDate,"&gt;="&amp;DATE(YEAR(C$4),MONTH(C$4),1),ExpDocDate,"&lt;="&amp;C$4,ExpAccount,LEFT($A22,5)&amp;"*"),-SUMIFS(IncExcl,IncDocDate,"&gt;="&amp;DATE(YEAR(C$4),MONTH(C$4),1),IncDocDate,"&lt;="&amp;C$4,IncAccount,$A22)+SUMIFS(ExpExcl,ExpDocDate,"&gt;="&amp;DATE(YEAR(C$4),MONTH(C$4),1),ExpDocDate,"&lt;="&amp;C$4,ExpAccount,$A22))</f>
        <v>0</v>
      </c>
      <c r="D22" s="34" cm="1">
        <f t="array" aca="1" ref="D22" ca="1">IF(RIGHT($A22,1)="G",-SUMIFS(IncExcl,IncDocDate,"&gt;="&amp;DATE(YEAR(D$4),MONTH(D$4),1),IncDocDate,"&lt;="&amp;D$4,IncAccount,LEFT($A22,5)&amp;"*")+SUMIFS(ExpExcl,ExpDocDate,"&gt;="&amp;DATE(YEAR(D$4),MONTH(D$4),1),ExpDocDate,"&lt;="&amp;D$4,ExpAccount,LEFT($A22,5)&amp;"*"),-SUMIFS(IncExcl,IncDocDate,"&gt;="&amp;DATE(YEAR(D$4),MONTH(D$4),1),IncDocDate,"&lt;="&amp;D$4,IncAccount,$A22)+SUMIFS(ExpExcl,ExpDocDate,"&gt;="&amp;DATE(YEAR(D$4),MONTH(D$4),1),ExpDocDate,"&lt;="&amp;D$4,ExpAccount,$A22))</f>
        <v>0</v>
      </c>
      <c r="E22" s="34" cm="1">
        <f t="array" aca="1" ref="E22" ca="1">IF(RIGHT($A22,1)="G",-SUMIFS(IncExcl,IncDocDate,"&gt;="&amp;DATE(YEAR(E$4),MONTH(E$4),1),IncDocDate,"&lt;="&amp;E$4,IncAccount,LEFT($A22,5)&amp;"*")+SUMIFS(ExpExcl,ExpDocDate,"&gt;="&amp;DATE(YEAR(E$4),MONTH(E$4),1),ExpDocDate,"&lt;="&amp;E$4,ExpAccount,LEFT($A22,5)&amp;"*"),-SUMIFS(IncExcl,IncDocDate,"&gt;="&amp;DATE(YEAR(E$4),MONTH(E$4),1),IncDocDate,"&lt;="&amp;E$4,IncAccount,$A22)+SUMIFS(ExpExcl,ExpDocDate,"&gt;="&amp;DATE(YEAR(E$4),MONTH(E$4),1),ExpDocDate,"&lt;="&amp;E$4,ExpAccount,$A22))</f>
        <v>0</v>
      </c>
      <c r="F22" s="34" cm="1">
        <f t="array" aca="1" ref="F22" ca="1">IF(RIGHT($A22,1)="G",-SUMIFS(IncExcl,IncDocDate,"&gt;="&amp;DATE(YEAR(F$4),MONTH(F$4),1),IncDocDate,"&lt;="&amp;F$4,IncAccount,LEFT($A22,5)&amp;"*")+SUMIFS(ExpExcl,ExpDocDate,"&gt;="&amp;DATE(YEAR(F$4),MONTH(F$4),1),ExpDocDate,"&lt;="&amp;F$4,ExpAccount,LEFT($A22,5)&amp;"*"),-SUMIFS(IncExcl,IncDocDate,"&gt;="&amp;DATE(YEAR(F$4),MONTH(F$4),1),IncDocDate,"&lt;="&amp;F$4,IncAccount,$A22)+SUMIFS(ExpExcl,ExpDocDate,"&gt;="&amp;DATE(YEAR(F$4),MONTH(F$4),1),ExpDocDate,"&lt;="&amp;F$4,ExpAccount,$A22))</f>
        <v>0</v>
      </c>
      <c r="G22" s="34" cm="1">
        <f t="array" aca="1" ref="G22" ca="1">IF(RIGHT($A22,1)="G",-SUMIFS(IncExcl,IncDocDate,"&gt;="&amp;DATE(YEAR(G$4),MONTH(G$4),1),IncDocDate,"&lt;="&amp;G$4,IncAccount,LEFT($A22,5)&amp;"*")+SUMIFS(ExpExcl,ExpDocDate,"&gt;="&amp;DATE(YEAR(G$4),MONTH(G$4),1),ExpDocDate,"&lt;="&amp;G$4,ExpAccount,LEFT($A22,5)&amp;"*"),-SUMIFS(IncExcl,IncDocDate,"&gt;="&amp;DATE(YEAR(G$4),MONTH(G$4),1),IncDocDate,"&lt;="&amp;G$4,IncAccount,$A22)+SUMIFS(ExpExcl,ExpDocDate,"&gt;="&amp;DATE(YEAR(G$4),MONTH(G$4),1),ExpDocDate,"&lt;="&amp;G$4,ExpAccount,$A22))</f>
        <v>0</v>
      </c>
      <c r="H22" s="34" cm="1">
        <f t="array" aca="1" ref="H22" ca="1">IF(RIGHT($A22,1)="G",-SUMIFS(IncExcl,IncDocDate,"&gt;="&amp;DATE(YEAR(H$4),MONTH(H$4),1),IncDocDate,"&lt;="&amp;H$4,IncAccount,LEFT($A22,5)&amp;"*")+SUMIFS(ExpExcl,ExpDocDate,"&gt;="&amp;DATE(YEAR(H$4),MONTH(H$4),1),ExpDocDate,"&lt;="&amp;H$4,ExpAccount,LEFT($A22,5)&amp;"*"),-SUMIFS(IncExcl,IncDocDate,"&gt;="&amp;DATE(YEAR(H$4),MONTH(H$4),1),IncDocDate,"&lt;="&amp;H$4,IncAccount,$A22)+SUMIFS(ExpExcl,ExpDocDate,"&gt;="&amp;DATE(YEAR(H$4),MONTH(H$4),1),ExpDocDate,"&lt;="&amp;H$4,ExpAccount,$A22))</f>
        <v>0</v>
      </c>
      <c r="I22" s="34" cm="1">
        <f t="array" aca="1" ref="I22" ca="1">IF(RIGHT($A22,1)="G",-SUMIFS(IncExcl,IncDocDate,"&gt;="&amp;DATE(YEAR(I$4),MONTH(I$4),1),IncDocDate,"&lt;="&amp;I$4,IncAccount,LEFT($A22,5)&amp;"*")+SUMIFS(ExpExcl,ExpDocDate,"&gt;="&amp;DATE(YEAR(I$4),MONTH(I$4),1),ExpDocDate,"&lt;="&amp;I$4,ExpAccount,LEFT($A22,5)&amp;"*"),-SUMIFS(IncExcl,IncDocDate,"&gt;="&amp;DATE(YEAR(I$4),MONTH(I$4),1),IncDocDate,"&lt;="&amp;I$4,IncAccount,$A22)+SUMIFS(ExpExcl,ExpDocDate,"&gt;="&amp;DATE(YEAR(I$4),MONTH(I$4),1),ExpDocDate,"&lt;="&amp;I$4,ExpAccount,$A22))</f>
        <v>0</v>
      </c>
      <c r="J22" s="34" cm="1">
        <f t="array" aca="1" ref="J22" ca="1">IF(RIGHT($A22,1)="G",-SUMIFS(IncExcl,IncDocDate,"&gt;="&amp;DATE(YEAR(J$4),MONTH(J$4),1),IncDocDate,"&lt;="&amp;J$4,IncAccount,LEFT($A22,5)&amp;"*")+SUMIFS(ExpExcl,ExpDocDate,"&gt;="&amp;DATE(YEAR(J$4),MONTH(J$4),1),ExpDocDate,"&lt;="&amp;J$4,ExpAccount,LEFT($A22,5)&amp;"*"),-SUMIFS(IncExcl,IncDocDate,"&gt;="&amp;DATE(YEAR(J$4),MONTH(J$4),1),IncDocDate,"&lt;="&amp;J$4,IncAccount,$A22)+SUMIFS(ExpExcl,ExpDocDate,"&gt;="&amp;DATE(YEAR(J$4),MONTH(J$4),1),ExpDocDate,"&lt;="&amp;J$4,ExpAccount,$A22))</f>
        <v>0</v>
      </c>
      <c r="K22" s="34" cm="1">
        <f t="array" aca="1" ref="K22" ca="1">IF(RIGHT($A22,1)="G",-SUMIFS(IncExcl,IncDocDate,"&gt;="&amp;DATE(YEAR(K$4),MONTH(K$4),1),IncDocDate,"&lt;="&amp;K$4,IncAccount,LEFT($A22,5)&amp;"*")+SUMIFS(ExpExcl,ExpDocDate,"&gt;="&amp;DATE(YEAR(K$4),MONTH(K$4),1),ExpDocDate,"&lt;="&amp;K$4,ExpAccount,LEFT($A22,5)&amp;"*"),-SUMIFS(IncExcl,IncDocDate,"&gt;="&amp;DATE(YEAR(K$4),MONTH(K$4),1),IncDocDate,"&lt;="&amp;K$4,IncAccount,$A22)+SUMIFS(ExpExcl,ExpDocDate,"&gt;="&amp;DATE(YEAR(K$4),MONTH(K$4),1),ExpDocDate,"&lt;="&amp;K$4,ExpAccount,$A22))</f>
        <v>0</v>
      </c>
      <c r="L22" s="34" cm="1">
        <f t="array" aca="1" ref="L22" ca="1">IF(RIGHT($A22,1)="G",-SUMIFS(IncExcl,IncDocDate,"&gt;="&amp;DATE(YEAR(L$4),MONTH(L$4),1),IncDocDate,"&lt;="&amp;L$4,IncAccount,LEFT($A22,5)&amp;"*")+SUMIFS(ExpExcl,ExpDocDate,"&gt;="&amp;DATE(YEAR(L$4),MONTH(L$4),1),ExpDocDate,"&lt;="&amp;L$4,ExpAccount,LEFT($A22,5)&amp;"*"),-SUMIFS(IncExcl,IncDocDate,"&gt;="&amp;DATE(YEAR(L$4),MONTH(L$4),1),IncDocDate,"&lt;="&amp;L$4,IncAccount,$A22)+SUMIFS(ExpExcl,ExpDocDate,"&gt;="&amp;DATE(YEAR(L$4),MONTH(L$4),1),ExpDocDate,"&lt;="&amp;L$4,ExpAccount,$A22))</f>
        <v>0</v>
      </c>
      <c r="M22" s="34" cm="1">
        <f t="array" aca="1" ref="M22" ca="1">IF(RIGHT($A22,1)="G",-SUMIFS(IncExcl,IncDocDate,"&gt;="&amp;DATE(YEAR(M$4),MONTH(M$4),1),IncDocDate,"&lt;="&amp;M$4,IncAccount,LEFT($A22,5)&amp;"*")+SUMIFS(ExpExcl,ExpDocDate,"&gt;="&amp;DATE(YEAR(M$4),MONTH(M$4),1),ExpDocDate,"&lt;="&amp;M$4,ExpAccount,LEFT($A22,5)&amp;"*"),-SUMIFS(IncExcl,IncDocDate,"&gt;="&amp;DATE(YEAR(M$4),MONTH(M$4),1),IncDocDate,"&lt;="&amp;M$4,IncAccount,$A22)+SUMIFS(ExpExcl,ExpDocDate,"&gt;="&amp;DATE(YEAR(M$4),MONTH(M$4),1),ExpDocDate,"&lt;="&amp;M$4,ExpAccount,$A22))</f>
        <v>0</v>
      </c>
      <c r="N22" s="34" cm="1">
        <f t="array" aca="1" ref="N22" ca="1">IF(RIGHT($A22,1)="G",-SUMIFS(IncExcl,IncDocDate,"&gt;="&amp;DATE(YEAR(N$4),MONTH(N$4),1),IncDocDate,"&lt;="&amp;N$4,IncAccount,LEFT($A22,5)&amp;"*")+SUMIFS(ExpExcl,ExpDocDate,"&gt;="&amp;DATE(YEAR(N$4),MONTH(N$4),1),ExpDocDate,"&lt;="&amp;N$4,ExpAccount,LEFT($A22,5)&amp;"*"),-SUMIFS(IncExcl,IncDocDate,"&gt;="&amp;DATE(YEAR(N$4),MONTH(N$4),1),IncDocDate,"&lt;="&amp;N$4,IncAccount,$A22)+SUMIFS(ExpExcl,ExpDocDate,"&gt;="&amp;DATE(YEAR(N$4),MONTH(N$4),1),ExpDocDate,"&lt;="&amp;N$4,ExpAccount,$A22))</f>
        <v>0</v>
      </c>
      <c r="O22" s="188">
        <f t="shared" ca="1" si="3"/>
        <v>0</v>
      </c>
      <c r="P22" s="188" cm="1">
        <f t="array" aca="1" ref="P22" ca="1">IF(RIGHT($A22,1)="G",-SUMIFS(IncExcl,IncDocDate,"&gt;="&amp;$P$2,IncDocDate,"&lt;="&amp;$P$3,IncAccount,LEFT($A22,5)&amp;"*")+SUMIFS(ExpExcl,ExpDocDate,"&gt;="&amp;$P$2,ExpDocDate,"&lt;="&amp;$P$3,ExpAccount,LEFT($A22,5)&amp;"*"),-SUMIFS(IncExcl,IncDocDate,"&gt;="&amp;$P$2,IncDocDate,"&lt;="&amp;$P$3,IncAccount,$A22)+SUMIFS(ExpExcl,ExpDocDate,"&gt;="&amp;$P$2,ExpDocDate,"&lt;="&amp;$P$3,ExpAccount,$A22))</f>
        <v>0</v>
      </c>
    </row>
    <row r="23" spans="1:16" ht="15.95" customHeight="1" x14ac:dyDescent="0.3">
      <c r="A23" s="277" t="s">
        <v>193</v>
      </c>
      <c r="B23" s="12" t="str">
        <f ca="1">IF(RIGHT($A23,1)="G",IF(ISNA(VLOOKUP(LEFT($A23,LEN($A23)-1),GroupAll,COLUMN(Groups!$B$4),0)),"Group Not Found",VLOOKUP(LEFT($A23,LEN($A23)-1),GroupAll,COLUMN(Groups!$B$4),0)),IF(ISNA(VLOOKUP($A23,AccountAll,COLUMN(TB!$B$4),0)),"Account Not Found",VLOOKUP($A23,AccountAll,COLUMN(TB!$B$4),0)))</f>
        <v>Postage</v>
      </c>
      <c r="C23" s="34" cm="1">
        <f t="array" aca="1" ref="C23" ca="1">IF(RIGHT($A23,1)="G",-SUMIFS(IncExcl,IncDocDate,"&gt;="&amp;DATE(YEAR(C$4),MONTH(C$4),1),IncDocDate,"&lt;="&amp;C$4,IncAccount,LEFT($A23,5)&amp;"*")+SUMIFS(ExpExcl,ExpDocDate,"&gt;="&amp;DATE(YEAR(C$4),MONTH(C$4),1),ExpDocDate,"&lt;="&amp;C$4,ExpAccount,LEFT($A23,5)&amp;"*"),-SUMIFS(IncExcl,IncDocDate,"&gt;="&amp;DATE(YEAR(C$4),MONTH(C$4),1),IncDocDate,"&lt;="&amp;C$4,IncAccount,$A23)+SUMIFS(ExpExcl,ExpDocDate,"&gt;="&amp;DATE(YEAR(C$4),MONTH(C$4),1),ExpDocDate,"&lt;="&amp;C$4,ExpAccount,$A23))</f>
        <v>0</v>
      </c>
      <c r="D23" s="34" cm="1">
        <f t="array" aca="1" ref="D23" ca="1">IF(RIGHT($A23,1)="G",-SUMIFS(IncExcl,IncDocDate,"&gt;="&amp;DATE(YEAR(D$4),MONTH(D$4),1),IncDocDate,"&lt;="&amp;D$4,IncAccount,LEFT($A23,5)&amp;"*")+SUMIFS(ExpExcl,ExpDocDate,"&gt;="&amp;DATE(YEAR(D$4),MONTH(D$4),1),ExpDocDate,"&lt;="&amp;D$4,ExpAccount,LEFT($A23,5)&amp;"*"),-SUMIFS(IncExcl,IncDocDate,"&gt;="&amp;DATE(YEAR(D$4),MONTH(D$4),1),IncDocDate,"&lt;="&amp;D$4,IncAccount,$A23)+SUMIFS(ExpExcl,ExpDocDate,"&gt;="&amp;DATE(YEAR(D$4),MONTH(D$4),1),ExpDocDate,"&lt;="&amp;D$4,ExpAccount,$A23))</f>
        <v>0</v>
      </c>
      <c r="E23" s="34" cm="1">
        <f t="array" aca="1" ref="E23" ca="1">IF(RIGHT($A23,1)="G",-SUMIFS(IncExcl,IncDocDate,"&gt;="&amp;DATE(YEAR(E$4),MONTH(E$4),1),IncDocDate,"&lt;="&amp;E$4,IncAccount,LEFT($A23,5)&amp;"*")+SUMIFS(ExpExcl,ExpDocDate,"&gt;="&amp;DATE(YEAR(E$4),MONTH(E$4),1),ExpDocDate,"&lt;="&amp;E$4,ExpAccount,LEFT($A23,5)&amp;"*"),-SUMIFS(IncExcl,IncDocDate,"&gt;="&amp;DATE(YEAR(E$4),MONTH(E$4),1),IncDocDate,"&lt;="&amp;E$4,IncAccount,$A23)+SUMIFS(ExpExcl,ExpDocDate,"&gt;="&amp;DATE(YEAR(E$4),MONTH(E$4),1),ExpDocDate,"&lt;="&amp;E$4,ExpAccount,$A23))</f>
        <v>0</v>
      </c>
      <c r="F23" s="34" cm="1">
        <f t="array" aca="1" ref="F23" ca="1">IF(RIGHT($A23,1)="G",-SUMIFS(IncExcl,IncDocDate,"&gt;="&amp;DATE(YEAR(F$4),MONTH(F$4),1),IncDocDate,"&lt;="&amp;F$4,IncAccount,LEFT($A23,5)&amp;"*")+SUMIFS(ExpExcl,ExpDocDate,"&gt;="&amp;DATE(YEAR(F$4),MONTH(F$4),1),ExpDocDate,"&lt;="&amp;F$4,ExpAccount,LEFT($A23,5)&amp;"*"),-SUMIFS(IncExcl,IncDocDate,"&gt;="&amp;DATE(YEAR(F$4),MONTH(F$4),1),IncDocDate,"&lt;="&amp;F$4,IncAccount,$A23)+SUMIFS(ExpExcl,ExpDocDate,"&gt;="&amp;DATE(YEAR(F$4),MONTH(F$4),1),ExpDocDate,"&lt;="&amp;F$4,ExpAccount,$A23))</f>
        <v>0</v>
      </c>
      <c r="G23" s="34" cm="1">
        <f t="array" aca="1" ref="G23" ca="1">IF(RIGHT($A23,1)="G",-SUMIFS(IncExcl,IncDocDate,"&gt;="&amp;DATE(YEAR(G$4),MONTH(G$4),1),IncDocDate,"&lt;="&amp;G$4,IncAccount,LEFT($A23,5)&amp;"*")+SUMIFS(ExpExcl,ExpDocDate,"&gt;="&amp;DATE(YEAR(G$4),MONTH(G$4),1),ExpDocDate,"&lt;="&amp;G$4,ExpAccount,LEFT($A23,5)&amp;"*"),-SUMIFS(IncExcl,IncDocDate,"&gt;="&amp;DATE(YEAR(G$4),MONTH(G$4),1),IncDocDate,"&lt;="&amp;G$4,IncAccount,$A23)+SUMIFS(ExpExcl,ExpDocDate,"&gt;="&amp;DATE(YEAR(G$4),MONTH(G$4),1),ExpDocDate,"&lt;="&amp;G$4,ExpAccount,$A23))</f>
        <v>0</v>
      </c>
      <c r="H23" s="34" cm="1">
        <f t="array" aca="1" ref="H23" ca="1">IF(RIGHT($A23,1)="G",-SUMIFS(IncExcl,IncDocDate,"&gt;="&amp;DATE(YEAR(H$4),MONTH(H$4),1),IncDocDate,"&lt;="&amp;H$4,IncAccount,LEFT($A23,5)&amp;"*")+SUMIFS(ExpExcl,ExpDocDate,"&gt;="&amp;DATE(YEAR(H$4),MONTH(H$4),1),ExpDocDate,"&lt;="&amp;H$4,ExpAccount,LEFT($A23,5)&amp;"*"),-SUMIFS(IncExcl,IncDocDate,"&gt;="&amp;DATE(YEAR(H$4),MONTH(H$4),1),IncDocDate,"&lt;="&amp;H$4,IncAccount,$A23)+SUMIFS(ExpExcl,ExpDocDate,"&gt;="&amp;DATE(YEAR(H$4),MONTH(H$4),1),ExpDocDate,"&lt;="&amp;H$4,ExpAccount,$A23))</f>
        <v>0</v>
      </c>
      <c r="I23" s="34" cm="1">
        <f t="array" aca="1" ref="I23" ca="1">IF(RIGHT($A23,1)="G",-SUMIFS(IncExcl,IncDocDate,"&gt;="&amp;DATE(YEAR(I$4),MONTH(I$4),1),IncDocDate,"&lt;="&amp;I$4,IncAccount,LEFT($A23,5)&amp;"*")+SUMIFS(ExpExcl,ExpDocDate,"&gt;="&amp;DATE(YEAR(I$4),MONTH(I$4),1),ExpDocDate,"&lt;="&amp;I$4,ExpAccount,LEFT($A23,5)&amp;"*"),-SUMIFS(IncExcl,IncDocDate,"&gt;="&amp;DATE(YEAR(I$4),MONTH(I$4),1),IncDocDate,"&lt;="&amp;I$4,IncAccount,$A23)+SUMIFS(ExpExcl,ExpDocDate,"&gt;="&amp;DATE(YEAR(I$4),MONTH(I$4),1),ExpDocDate,"&lt;="&amp;I$4,ExpAccount,$A23))</f>
        <v>0</v>
      </c>
      <c r="J23" s="34" cm="1">
        <f t="array" aca="1" ref="J23" ca="1">IF(RIGHT($A23,1)="G",-SUMIFS(IncExcl,IncDocDate,"&gt;="&amp;DATE(YEAR(J$4),MONTH(J$4),1),IncDocDate,"&lt;="&amp;J$4,IncAccount,LEFT($A23,5)&amp;"*")+SUMIFS(ExpExcl,ExpDocDate,"&gt;="&amp;DATE(YEAR(J$4),MONTH(J$4),1),ExpDocDate,"&lt;="&amp;J$4,ExpAccount,LEFT($A23,5)&amp;"*"),-SUMIFS(IncExcl,IncDocDate,"&gt;="&amp;DATE(YEAR(J$4),MONTH(J$4),1),IncDocDate,"&lt;="&amp;J$4,IncAccount,$A23)+SUMIFS(ExpExcl,ExpDocDate,"&gt;="&amp;DATE(YEAR(J$4),MONTH(J$4),1),ExpDocDate,"&lt;="&amp;J$4,ExpAccount,$A23))</f>
        <v>0</v>
      </c>
      <c r="K23" s="34" cm="1">
        <f t="array" aca="1" ref="K23" ca="1">IF(RIGHT($A23,1)="G",-SUMIFS(IncExcl,IncDocDate,"&gt;="&amp;DATE(YEAR(K$4),MONTH(K$4),1),IncDocDate,"&lt;="&amp;K$4,IncAccount,LEFT($A23,5)&amp;"*")+SUMIFS(ExpExcl,ExpDocDate,"&gt;="&amp;DATE(YEAR(K$4),MONTH(K$4),1),ExpDocDate,"&lt;="&amp;K$4,ExpAccount,LEFT($A23,5)&amp;"*"),-SUMIFS(IncExcl,IncDocDate,"&gt;="&amp;DATE(YEAR(K$4),MONTH(K$4),1),IncDocDate,"&lt;="&amp;K$4,IncAccount,$A23)+SUMIFS(ExpExcl,ExpDocDate,"&gt;="&amp;DATE(YEAR(K$4),MONTH(K$4),1),ExpDocDate,"&lt;="&amp;K$4,ExpAccount,$A23))</f>
        <v>0</v>
      </c>
      <c r="L23" s="34" cm="1">
        <f t="array" aca="1" ref="L23" ca="1">IF(RIGHT($A23,1)="G",-SUMIFS(IncExcl,IncDocDate,"&gt;="&amp;DATE(YEAR(L$4),MONTH(L$4),1),IncDocDate,"&lt;="&amp;L$4,IncAccount,LEFT($A23,5)&amp;"*")+SUMIFS(ExpExcl,ExpDocDate,"&gt;="&amp;DATE(YEAR(L$4),MONTH(L$4),1),ExpDocDate,"&lt;="&amp;L$4,ExpAccount,LEFT($A23,5)&amp;"*"),-SUMIFS(IncExcl,IncDocDate,"&gt;="&amp;DATE(YEAR(L$4),MONTH(L$4),1),IncDocDate,"&lt;="&amp;L$4,IncAccount,$A23)+SUMIFS(ExpExcl,ExpDocDate,"&gt;="&amp;DATE(YEAR(L$4),MONTH(L$4),1),ExpDocDate,"&lt;="&amp;L$4,ExpAccount,$A23))</f>
        <v>0</v>
      </c>
      <c r="M23" s="34" cm="1">
        <f t="array" aca="1" ref="M23" ca="1">IF(RIGHT($A23,1)="G",-SUMIFS(IncExcl,IncDocDate,"&gt;="&amp;DATE(YEAR(M$4),MONTH(M$4),1),IncDocDate,"&lt;="&amp;M$4,IncAccount,LEFT($A23,5)&amp;"*")+SUMIFS(ExpExcl,ExpDocDate,"&gt;="&amp;DATE(YEAR(M$4),MONTH(M$4),1),ExpDocDate,"&lt;="&amp;M$4,ExpAccount,LEFT($A23,5)&amp;"*"),-SUMIFS(IncExcl,IncDocDate,"&gt;="&amp;DATE(YEAR(M$4),MONTH(M$4),1),IncDocDate,"&lt;="&amp;M$4,IncAccount,$A23)+SUMIFS(ExpExcl,ExpDocDate,"&gt;="&amp;DATE(YEAR(M$4),MONTH(M$4),1),ExpDocDate,"&lt;="&amp;M$4,ExpAccount,$A23))</f>
        <v>0</v>
      </c>
      <c r="N23" s="34" cm="1">
        <f t="array" aca="1" ref="N23" ca="1">IF(RIGHT($A23,1)="G",-SUMIFS(IncExcl,IncDocDate,"&gt;="&amp;DATE(YEAR(N$4),MONTH(N$4),1),IncDocDate,"&lt;="&amp;N$4,IncAccount,LEFT($A23,5)&amp;"*")+SUMIFS(ExpExcl,ExpDocDate,"&gt;="&amp;DATE(YEAR(N$4),MONTH(N$4),1),ExpDocDate,"&lt;="&amp;N$4,ExpAccount,LEFT($A23,5)&amp;"*"),-SUMIFS(IncExcl,IncDocDate,"&gt;="&amp;DATE(YEAR(N$4),MONTH(N$4),1),IncDocDate,"&lt;="&amp;N$4,IncAccount,$A23)+SUMIFS(ExpExcl,ExpDocDate,"&gt;="&amp;DATE(YEAR(N$4),MONTH(N$4),1),ExpDocDate,"&lt;="&amp;N$4,ExpAccount,$A23))</f>
        <v>0</v>
      </c>
      <c r="O23" s="188">
        <f t="shared" ca="1" si="3"/>
        <v>0</v>
      </c>
      <c r="P23" s="188" cm="1">
        <f t="array" aca="1" ref="P23" ca="1">IF(RIGHT($A23,1)="G",-SUMIFS(IncExcl,IncDocDate,"&gt;="&amp;$P$2,IncDocDate,"&lt;="&amp;$P$3,IncAccount,LEFT($A23,5)&amp;"*")+SUMIFS(ExpExcl,ExpDocDate,"&gt;="&amp;$P$2,ExpDocDate,"&lt;="&amp;$P$3,ExpAccount,LEFT($A23,5)&amp;"*"),-SUMIFS(IncExcl,IncDocDate,"&gt;="&amp;$P$2,IncDocDate,"&lt;="&amp;$P$3,IncAccount,$A23)+SUMIFS(ExpExcl,ExpDocDate,"&gt;="&amp;$P$2,ExpDocDate,"&lt;="&amp;$P$3,ExpAccount,$A23))</f>
        <v>0</v>
      </c>
    </row>
    <row r="24" spans="1:16" ht="15.95" customHeight="1" x14ac:dyDescent="0.3">
      <c r="A24" s="277" t="s">
        <v>194</v>
      </c>
      <c r="B24" s="12" t="str">
        <f ca="1">IF(RIGHT($A24,1)="G",IF(ISNA(VLOOKUP(LEFT($A24,LEN($A24)-1),GroupAll,COLUMN(Groups!$B$4),0)),"Group Not Found",VLOOKUP(LEFT($A24,LEN($A24)-1),GroupAll,COLUMN(Groups!$B$4),0)),IF(ISNA(VLOOKUP($A24,AccountAll,COLUMN(TB!$B$4),0)),"Account Not Found",VLOOKUP($A24,AccountAll,COLUMN(TB!$B$4),0)))</f>
        <v>Professional &amp; Legal Fees</v>
      </c>
      <c r="C24" s="34" cm="1">
        <f t="array" aca="1" ref="C24" ca="1">IF(RIGHT($A24,1)="G",-SUMIFS(IncExcl,IncDocDate,"&gt;="&amp;DATE(YEAR(C$4),MONTH(C$4),1),IncDocDate,"&lt;="&amp;C$4,IncAccount,LEFT($A24,5)&amp;"*")+SUMIFS(ExpExcl,ExpDocDate,"&gt;="&amp;DATE(YEAR(C$4),MONTH(C$4),1),ExpDocDate,"&lt;="&amp;C$4,ExpAccount,LEFT($A24,5)&amp;"*"),-SUMIFS(IncExcl,IncDocDate,"&gt;="&amp;DATE(YEAR(C$4),MONTH(C$4),1),IncDocDate,"&lt;="&amp;C$4,IncAccount,$A24)+SUMIFS(ExpExcl,ExpDocDate,"&gt;="&amp;DATE(YEAR(C$4),MONTH(C$4),1),ExpDocDate,"&lt;="&amp;C$4,ExpAccount,$A24))</f>
        <v>0</v>
      </c>
      <c r="D24" s="34" cm="1">
        <f t="array" aca="1" ref="D24" ca="1">IF(RIGHT($A24,1)="G",-SUMIFS(IncExcl,IncDocDate,"&gt;="&amp;DATE(YEAR(D$4),MONTH(D$4),1),IncDocDate,"&lt;="&amp;D$4,IncAccount,LEFT($A24,5)&amp;"*")+SUMIFS(ExpExcl,ExpDocDate,"&gt;="&amp;DATE(YEAR(D$4),MONTH(D$4),1),ExpDocDate,"&lt;="&amp;D$4,ExpAccount,LEFT($A24,5)&amp;"*"),-SUMIFS(IncExcl,IncDocDate,"&gt;="&amp;DATE(YEAR(D$4),MONTH(D$4),1),IncDocDate,"&lt;="&amp;D$4,IncAccount,$A24)+SUMIFS(ExpExcl,ExpDocDate,"&gt;="&amp;DATE(YEAR(D$4),MONTH(D$4),1),ExpDocDate,"&lt;="&amp;D$4,ExpAccount,$A24))</f>
        <v>0</v>
      </c>
      <c r="E24" s="34" cm="1">
        <f t="array" aca="1" ref="E24" ca="1">IF(RIGHT($A24,1)="G",-SUMIFS(IncExcl,IncDocDate,"&gt;="&amp;DATE(YEAR(E$4),MONTH(E$4),1),IncDocDate,"&lt;="&amp;E$4,IncAccount,LEFT($A24,5)&amp;"*")+SUMIFS(ExpExcl,ExpDocDate,"&gt;="&amp;DATE(YEAR(E$4),MONTH(E$4),1),ExpDocDate,"&lt;="&amp;E$4,ExpAccount,LEFT($A24,5)&amp;"*"),-SUMIFS(IncExcl,IncDocDate,"&gt;="&amp;DATE(YEAR(E$4),MONTH(E$4),1),IncDocDate,"&lt;="&amp;E$4,IncAccount,$A24)+SUMIFS(ExpExcl,ExpDocDate,"&gt;="&amp;DATE(YEAR(E$4),MONTH(E$4),1),ExpDocDate,"&lt;="&amp;E$4,ExpAccount,$A24))</f>
        <v>0</v>
      </c>
      <c r="F24" s="34" cm="1">
        <f t="array" aca="1" ref="F24" ca="1">IF(RIGHT($A24,1)="G",-SUMIFS(IncExcl,IncDocDate,"&gt;="&amp;DATE(YEAR(F$4),MONTH(F$4),1),IncDocDate,"&lt;="&amp;F$4,IncAccount,LEFT($A24,5)&amp;"*")+SUMIFS(ExpExcl,ExpDocDate,"&gt;="&amp;DATE(YEAR(F$4),MONTH(F$4),1),ExpDocDate,"&lt;="&amp;F$4,ExpAccount,LEFT($A24,5)&amp;"*"),-SUMIFS(IncExcl,IncDocDate,"&gt;="&amp;DATE(YEAR(F$4),MONTH(F$4),1),IncDocDate,"&lt;="&amp;F$4,IncAccount,$A24)+SUMIFS(ExpExcl,ExpDocDate,"&gt;="&amp;DATE(YEAR(F$4),MONTH(F$4),1),ExpDocDate,"&lt;="&amp;F$4,ExpAccount,$A24))</f>
        <v>0</v>
      </c>
      <c r="G24" s="34" cm="1">
        <f t="array" aca="1" ref="G24" ca="1">IF(RIGHT($A24,1)="G",-SUMIFS(IncExcl,IncDocDate,"&gt;="&amp;DATE(YEAR(G$4),MONTH(G$4),1),IncDocDate,"&lt;="&amp;G$4,IncAccount,LEFT($A24,5)&amp;"*")+SUMIFS(ExpExcl,ExpDocDate,"&gt;="&amp;DATE(YEAR(G$4),MONTH(G$4),1),ExpDocDate,"&lt;="&amp;G$4,ExpAccount,LEFT($A24,5)&amp;"*"),-SUMIFS(IncExcl,IncDocDate,"&gt;="&amp;DATE(YEAR(G$4),MONTH(G$4),1),IncDocDate,"&lt;="&amp;G$4,IncAccount,$A24)+SUMIFS(ExpExcl,ExpDocDate,"&gt;="&amp;DATE(YEAR(G$4),MONTH(G$4),1),ExpDocDate,"&lt;="&amp;G$4,ExpAccount,$A24))</f>
        <v>0</v>
      </c>
      <c r="H24" s="34" cm="1">
        <f t="array" aca="1" ref="H24" ca="1">IF(RIGHT($A24,1)="G",-SUMIFS(IncExcl,IncDocDate,"&gt;="&amp;DATE(YEAR(H$4),MONTH(H$4),1),IncDocDate,"&lt;="&amp;H$4,IncAccount,LEFT($A24,5)&amp;"*")+SUMIFS(ExpExcl,ExpDocDate,"&gt;="&amp;DATE(YEAR(H$4),MONTH(H$4),1),ExpDocDate,"&lt;="&amp;H$4,ExpAccount,LEFT($A24,5)&amp;"*"),-SUMIFS(IncExcl,IncDocDate,"&gt;="&amp;DATE(YEAR(H$4),MONTH(H$4),1),IncDocDate,"&lt;="&amp;H$4,IncAccount,$A24)+SUMIFS(ExpExcl,ExpDocDate,"&gt;="&amp;DATE(YEAR(H$4),MONTH(H$4),1),ExpDocDate,"&lt;="&amp;H$4,ExpAccount,$A24))</f>
        <v>0</v>
      </c>
      <c r="I24" s="34" cm="1">
        <f t="array" aca="1" ref="I24" ca="1">IF(RIGHT($A24,1)="G",-SUMIFS(IncExcl,IncDocDate,"&gt;="&amp;DATE(YEAR(I$4),MONTH(I$4),1),IncDocDate,"&lt;="&amp;I$4,IncAccount,LEFT($A24,5)&amp;"*")+SUMIFS(ExpExcl,ExpDocDate,"&gt;="&amp;DATE(YEAR(I$4),MONTH(I$4),1),ExpDocDate,"&lt;="&amp;I$4,ExpAccount,LEFT($A24,5)&amp;"*"),-SUMIFS(IncExcl,IncDocDate,"&gt;="&amp;DATE(YEAR(I$4),MONTH(I$4),1),IncDocDate,"&lt;="&amp;I$4,IncAccount,$A24)+SUMIFS(ExpExcl,ExpDocDate,"&gt;="&amp;DATE(YEAR(I$4),MONTH(I$4),1),ExpDocDate,"&lt;="&amp;I$4,ExpAccount,$A24))</f>
        <v>0</v>
      </c>
      <c r="J24" s="34" cm="1">
        <f t="array" aca="1" ref="J24" ca="1">IF(RIGHT($A24,1)="G",-SUMIFS(IncExcl,IncDocDate,"&gt;="&amp;DATE(YEAR(J$4),MONTH(J$4),1),IncDocDate,"&lt;="&amp;J$4,IncAccount,LEFT($A24,5)&amp;"*")+SUMIFS(ExpExcl,ExpDocDate,"&gt;="&amp;DATE(YEAR(J$4),MONTH(J$4),1),ExpDocDate,"&lt;="&amp;J$4,ExpAccount,LEFT($A24,5)&amp;"*"),-SUMIFS(IncExcl,IncDocDate,"&gt;="&amp;DATE(YEAR(J$4),MONTH(J$4),1),IncDocDate,"&lt;="&amp;J$4,IncAccount,$A24)+SUMIFS(ExpExcl,ExpDocDate,"&gt;="&amp;DATE(YEAR(J$4),MONTH(J$4),1),ExpDocDate,"&lt;="&amp;J$4,ExpAccount,$A24))</f>
        <v>0</v>
      </c>
      <c r="K24" s="34" cm="1">
        <f t="array" aca="1" ref="K24" ca="1">IF(RIGHT($A24,1)="G",-SUMIFS(IncExcl,IncDocDate,"&gt;="&amp;DATE(YEAR(K$4),MONTH(K$4),1),IncDocDate,"&lt;="&amp;K$4,IncAccount,LEFT($A24,5)&amp;"*")+SUMIFS(ExpExcl,ExpDocDate,"&gt;="&amp;DATE(YEAR(K$4),MONTH(K$4),1),ExpDocDate,"&lt;="&amp;K$4,ExpAccount,LEFT($A24,5)&amp;"*"),-SUMIFS(IncExcl,IncDocDate,"&gt;="&amp;DATE(YEAR(K$4),MONTH(K$4),1),IncDocDate,"&lt;="&amp;K$4,IncAccount,$A24)+SUMIFS(ExpExcl,ExpDocDate,"&gt;="&amp;DATE(YEAR(K$4),MONTH(K$4),1),ExpDocDate,"&lt;="&amp;K$4,ExpAccount,$A24))</f>
        <v>0</v>
      </c>
      <c r="L24" s="34" cm="1">
        <f t="array" aca="1" ref="L24" ca="1">IF(RIGHT($A24,1)="G",-SUMIFS(IncExcl,IncDocDate,"&gt;="&amp;DATE(YEAR(L$4),MONTH(L$4),1),IncDocDate,"&lt;="&amp;L$4,IncAccount,LEFT($A24,5)&amp;"*")+SUMIFS(ExpExcl,ExpDocDate,"&gt;="&amp;DATE(YEAR(L$4),MONTH(L$4),1),ExpDocDate,"&lt;="&amp;L$4,ExpAccount,LEFT($A24,5)&amp;"*"),-SUMIFS(IncExcl,IncDocDate,"&gt;="&amp;DATE(YEAR(L$4),MONTH(L$4),1),IncDocDate,"&lt;="&amp;L$4,IncAccount,$A24)+SUMIFS(ExpExcl,ExpDocDate,"&gt;="&amp;DATE(YEAR(L$4),MONTH(L$4),1),ExpDocDate,"&lt;="&amp;L$4,ExpAccount,$A24))</f>
        <v>0</v>
      </c>
      <c r="M24" s="34" cm="1">
        <f t="array" aca="1" ref="M24" ca="1">IF(RIGHT($A24,1)="G",-SUMIFS(IncExcl,IncDocDate,"&gt;="&amp;DATE(YEAR(M$4),MONTH(M$4),1),IncDocDate,"&lt;="&amp;M$4,IncAccount,LEFT($A24,5)&amp;"*")+SUMIFS(ExpExcl,ExpDocDate,"&gt;="&amp;DATE(YEAR(M$4),MONTH(M$4),1),ExpDocDate,"&lt;="&amp;M$4,ExpAccount,LEFT($A24,5)&amp;"*"),-SUMIFS(IncExcl,IncDocDate,"&gt;="&amp;DATE(YEAR(M$4),MONTH(M$4),1),IncDocDate,"&lt;="&amp;M$4,IncAccount,$A24)+SUMIFS(ExpExcl,ExpDocDate,"&gt;="&amp;DATE(YEAR(M$4),MONTH(M$4),1),ExpDocDate,"&lt;="&amp;M$4,ExpAccount,$A24))</f>
        <v>0</v>
      </c>
      <c r="N24" s="34" cm="1">
        <f t="array" aca="1" ref="N24" ca="1">IF(RIGHT($A24,1)="G",-SUMIFS(IncExcl,IncDocDate,"&gt;="&amp;DATE(YEAR(N$4),MONTH(N$4),1),IncDocDate,"&lt;="&amp;N$4,IncAccount,LEFT($A24,5)&amp;"*")+SUMIFS(ExpExcl,ExpDocDate,"&gt;="&amp;DATE(YEAR(N$4),MONTH(N$4),1),ExpDocDate,"&lt;="&amp;N$4,ExpAccount,LEFT($A24,5)&amp;"*"),-SUMIFS(IncExcl,IncDocDate,"&gt;="&amp;DATE(YEAR(N$4),MONTH(N$4),1),IncDocDate,"&lt;="&amp;N$4,IncAccount,$A24)+SUMIFS(ExpExcl,ExpDocDate,"&gt;="&amp;DATE(YEAR(N$4),MONTH(N$4),1),ExpDocDate,"&lt;="&amp;N$4,ExpAccount,$A24))</f>
        <v>0</v>
      </c>
      <c r="O24" s="188">
        <f t="shared" ca="1" si="3"/>
        <v>0</v>
      </c>
      <c r="P24" s="188" cm="1">
        <f t="array" aca="1" ref="P24" ca="1">IF(RIGHT($A24,1)="G",-SUMIFS(IncExcl,IncDocDate,"&gt;="&amp;$P$2,IncDocDate,"&lt;="&amp;$P$3,IncAccount,LEFT($A24,5)&amp;"*")+SUMIFS(ExpExcl,ExpDocDate,"&gt;="&amp;$P$2,ExpDocDate,"&lt;="&amp;$P$3,ExpAccount,LEFT($A24,5)&amp;"*"),-SUMIFS(IncExcl,IncDocDate,"&gt;="&amp;$P$2,IncDocDate,"&lt;="&amp;$P$3,IncAccount,$A24)+SUMIFS(ExpExcl,ExpDocDate,"&gt;="&amp;$P$2,ExpDocDate,"&lt;="&amp;$P$3,ExpAccount,$A24))</f>
        <v>0</v>
      </c>
    </row>
    <row r="25" spans="1:16" ht="15.95" customHeight="1" x14ac:dyDescent="0.3">
      <c r="A25" s="277" t="s">
        <v>195</v>
      </c>
      <c r="B25" s="12" t="str">
        <f ca="1">IF(RIGHT($A25,1)="G",IF(ISNA(VLOOKUP(LEFT($A25,LEN($A25)-1),GroupAll,COLUMN(Groups!$B$4),0)),"Group Not Found",VLOOKUP(LEFT($A25,LEN($A25)-1),GroupAll,COLUMN(Groups!$B$4),0)),IF(ISNA(VLOOKUP($A25,AccountAll,COLUMN(TB!$B$4),0)),"Account Not Found",VLOOKUP($A25,AccountAll,COLUMN(TB!$B$4),0)))</f>
        <v>Stationery</v>
      </c>
      <c r="C25" s="34" cm="1">
        <f t="array" aca="1" ref="C25" ca="1">IF(RIGHT($A25,1)="G",-SUMIFS(IncExcl,IncDocDate,"&gt;="&amp;DATE(YEAR(C$4),MONTH(C$4),1),IncDocDate,"&lt;="&amp;C$4,IncAccount,LEFT($A25,5)&amp;"*")+SUMIFS(ExpExcl,ExpDocDate,"&gt;="&amp;DATE(YEAR(C$4),MONTH(C$4),1),ExpDocDate,"&lt;="&amp;C$4,ExpAccount,LEFT($A25,5)&amp;"*"),-SUMIFS(IncExcl,IncDocDate,"&gt;="&amp;DATE(YEAR(C$4),MONTH(C$4),1),IncDocDate,"&lt;="&amp;C$4,IncAccount,$A25)+SUMIFS(ExpExcl,ExpDocDate,"&gt;="&amp;DATE(YEAR(C$4),MONTH(C$4),1),ExpDocDate,"&lt;="&amp;C$4,ExpAccount,$A25))</f>
        <v>0</v>
      </c>
      <c r="D25" s="34" cm="1">
        <f t="array" aca="1" ref="D25" ca="1">IF(RIGHT($A25,1)="G",-SUMIFS(IncExcl,IncDocDate,"&gt;="&amp;DATE(YEAR(D$4),MONTH(D$4),1),IncDocDate,"&lt;="&amp;D$4,IncAccount,LEFT($A25,5)&amp;"*")+SUMIFS(ExpExcl,ExpDocDate,"&gt;="&amp;DATE(YEAR(D$4),MONTH(D$4),1),ExpDocDate,"&lt;="&amp;D$4,ExpAccount,LEFT($A25,5)&amp;"*"),-SUMIFS(IncExcl,IncDocDate,"&gt;="&amp;DATE(YEAR(D$4),MONTH(D$4),1),IncDocDate,"&lt;="&amp;D$4,IncAccount,$A25)+SUMIFS(ExpExcl,ExpDocDate,"&gt;="&amp;DATE(YEAR(D$4),MONTH(D$4),1),ExpDocDate,"&lt;="&amp;D$4,ExpAccount,$A25))</f>
        <v>0</v>
      </c>
      <c r="E25" s="34" cm="1">
        <f t="array" aca="1" ref="E25" ca="1">IF(RIGHT($A25,1)="G",-SUMIFS(IncExcl,IncDocDate,"&gt;="&amp;DATE(YEAR(E$4),MONTH(E$4),1),IncDocDate,"&lt;="&amp;E$4,IncAccount,LEFT($A25,5)&amp;"*")+SUMIFS(ExpExcl,ExpDocDate,"&gt;="&amp;DATE(YEAR(E$4),MONTH(E$4),1),ExpDocDate,"&lt;="&amp;E$4,ExpAccount,LEFT($A25,5)&amp;"*"),-SUMIFS(IncExcl,IncDocDate,"&gt;="&amp;DATE(YEAR(E$4),MONTH(E$4),1),IncDocDate,"&lt;="&amp;E$4,IncAccount,$A25)+SUMIFS(ExpExcl,ExpDocDate,"&gt;="&amp;DATE(YEAR(E$4),MONTH(E$4),1),ExpDocDate,"&lt;="&amp;E$4,ExpAccount,$A25))</f>
        <v>0</v>
      </c>
      <c r="F25" s="34" cm="1">
        <f t="array" aca="1" ref="F25" ca="1">IF(RIGHT($A25,1)="G",-SUMIFS(IncExcl,IncDocDate,"&gt;="&amp;DATE(YEAR(F$4),MONTH(F$4),1),IncDocDate,"&lt;="&amp;F$4,IncAccount,LEFT($A25,5)&amp;"*")+SUMIFS(ExpExcl,ExpDocDate,"&gt;="&amp;DATE(YEAR(F$4),MONTH(F$4),1),ExpDocDate,"&lt;="&amp;F$4,ExpAccount,LEFT($A25,5)&amp;"*"),-SUMIFS(IncExcl,IncDocDate,"&gt;="&amp;DATE(YEAR(F$4),MONTH(F$4),1),IncDocDate,"&lt;="&amp;F$4,IncAccount,$A25)+SUMIFS(ExpExcl,ExpDocDate,"&gt;="&amp;DATE(YEAR(F$4),MONTH(F$4),1),ExpDocDate,"&lt;="&amp;F$4,ExpAccount,$A25))</f>
        <v>0</v>
      </c>
      <c r="G25" s="34" cm="1">
        <f t="array" aca="1" ref="G25" ca="1">IF(RIGHT($A25,1)="G",-SUMIFS(IncExcl,IncDocDate,"&gt;="&amp;DATE(YEAR(G$4),MONTH(G$4),1),IncDocDate,"&lt;="&amp;G$4,IncAccount,LEFT($A25,5)&amp;"*")+SUMIFS(ExpExcl,ExpDocDate,"&gt;="&amp;DATE(YEAR(G$4),MONTH(G$4),1),ExpDocDate,"&lt;="&amp;G$4,ExpAccount,LEFT($A25,5)&amp;"*"),-SUMIFS(IncExcl,IncDocDate,"&gt;="&amp;DATE(YEAR(G$4),MONTH(G$4),1),IncDocDate,"&lt;="&amp;G$4,IncAccount,$A25)+SUMIFS(ExpExcl,ExpDocDate,"&gt;="&amp;DATE(YEAR(G$4),MONTH(G$4),1),ExpDocDate,"&lt;="&amp;G$4,ExpAccount,$A25))</f>
        <v>0</v>
      </c>
      <c r="H25" s="34" cm="1">
        <f t="array" aca="1" ref="H25" ca="1">IF(RIGHT($A25,1)="G",-SUMIFS(IncExcl,IncDocDate,"&gt;="&amp;DATE(YEAR(H$4),MONTH(H$4),1),IncDocDate,"&lt;="&amp;H$4,IncAccount,LEFT($A25,5)&amp;"*")+SUMIFS(ExpExcl,ExpDocDate,"&gt;="&amp;DATE(YEAR(H$4),MONTH(H$4),1),ExpDocDate,"&lt;="&amp;H$4,ExpAccount,LEFT($A25,5)&amp;"*"),-SUMIFS(IncExcl,IncDocDate,"&gt;="&amp;DATE(YEAR(H$4),MONTH(H$4),1),IncDocDate,"&lt;="&amp;H$4,IncAccount,$A25)+SUMIFS(ExpExcl,ExpDocDate,"&gt;="&amp;DATE(YEAR(H$4),MONTH(H$4),1),ExpDocDate,"&lt;="&amp;H$4,ExpAccount,$A25))</f>
        <v>0</v>
      </c>
      <c r="I25" s="34" cm="1">
        <f t="array" aca="1" ref="I25" ca="1">IF(RIGHT($A25,1)="G",-SUMIFS(IncExcl,IncDocDate,"&gt;="&amp;DATE(YEAR(I$4),MONTH(I$4),1),IncDocDate,"&lt;="&amp;I$4,IncAccount,LEFT($A25,5)&amp;"*")+SUMIFS(ExpExcl,ExpDocDate,"&gt;="&amp;DATE(YEAR(I$4),MONTH(I$4),1),ExpDocDate,"&lt;="&amp;I$4,ExpAccount,LEFT($A25,5)&amp;"*"),-SUMIFS(IncExcl,IncDocDate,"&gt;="&amp;DATE(YEAR(I$4),MONTH(I$4),1),IncDocDate,"&lt;="&amp;I$4,IncAccount,$A25)+SUMIFS(ExpExcl,ExpDocDate,"&gt;="&amp;DATE(YEAR(I$4),MONTH(I$4),1),ExpDocDate,"&lt;="&amp;I$4,ExpAccount,$A25))</f>
        <v>0</v>
      </c>
      <c r="J25" s="34" cm="1">
        <f t="array" aca="1" ref="J25" ca="1">IF(RIGHT($A25,1)="G",-SUMIFS(IncExcl,IncDocDate,"&gt;="&amp;DATE(YEAR(J$4),MONTH(J$4),1),IncDocDate,"&lt;="&amp;J$4,IncAccount,LEFT($A25,5)&amp;"*")+SUMIFS(ExpExcl,ExpDocDate,"&gt;="&amp;DATE(YEAR(J$4),MONTH(J$4),1),ExpDocDate,"&lt;="&amp;J$4,ExpAccount,LEFT($A25,5)&amp;"*"),-SUMIFS(IncExcl,IncDocDate,"&gt;="&amp;DATE(YEAR(J$4),MONTH(J$4),1),IncDocDate,"&lt;="&amp;J$4,IncAccount,$A25)+SUMIFS(ExpExcl,ExpDocDate,"&gt;="&amp;DATE(YEAR(J$4),MONTH(J$4),1),ExpDocDate,"&lt;="&amp;J$4,ExpAccount,$A25))</f>
        <v>0</v>
      </c>
      <c r="K25" s="34" cm="1">
        <f t="array" aca="1" ref="K25" ca="1">IF(RIGHT($A25,1)="G",-SUMIFS(IncExcl,IncDocDate,"&gt;="&amp;DATE(YEAR(K$4),MONTH(K$4),1),IncDocDate,"&lt;="&amp;K$4,IncAccount,LEFT($A25,5)&amp;"*")+SUMIFS(ExpExcl,ExpDocDate,"&gt;="&amp;DATE(YEAR(K$4),MONTH(K$4),1),ExpDocDate,"&lt;="&amp;K$4,ExpAccount,LEFT($A25,5)&amp;"*"),-SUMIFS(IncExcl,IncDocDate,"&gt;="&amp;DATE(YEAR(K$4),MONTH(K$4),1),IncDocDate,"&lt;="&amp;K$4,IncAccount,$A25)+SUMIFS(ExpExcl,ExpDocDate,"&gt;="&amp;DATE(YEAR(K$4),MONTH(K$4),1),ExpDocDate,"&lt;="&amp;K$4,ExpAccount,$A25))</f>
        <v>0</v>
      </c>
      <c r="L25" s="34" cm="1">
        <f t="array" aca="1" ref="L25" ca="1">IF(RIGHT($A25,1)="G",-SUMIFS(IncExcl,IncDocDate,"&gt;="&amp;DATE(YEAR(L$4),MONTH(L$4),1),IncDocDate,"&lt;="&amp;L$4,IncAccount,LEFT($A25,5)&amp;"*")+SUMIFS(ExpExcl,ExpDocDate,"&gt;="&amp;DATE(YEAR(L$4),MONTH(L$4),1),ExpDocDate,"&lt;="&amp;L$4,ExpAccount,LEFT($A25,5)&amp;"*"),-SUMIFS(IncExcl,IncDocDate,"&gt;="&amp;DATE(YEAR(L$4),MONTH(L$4),1),IncDocDate,"&lt;="&amp;L$4,IncAccount,$A25)+SUMIFS(ExpExcl,ExpDocDate,"&gt;="&amp;DATE(YEAR(L$4),MONTH(L$4),1),ExpDocDate,"&lt;="&amp;L$4,ExpAccount,$A25))</f>
        <v>0</v>
      </c>
      <c r="M25" s="34" cm="1">
        <f t="array" aca="1" ref="M25" ca="1">IF(RIGHT($A25,1)="G",-SUMIFS(IncExcl,IncDocDate,"&gt;="&amp;DATE(YEAR(M$4),MONTH(M$4),1),IncDocDate,"&lt;="&amp;M$4,IncAccount,LEFT($A25,5)&amp;"*")+SUMIFS(ExpExcl,ExpDocDate,"&gt;="&amp;DATE(YEAR(M$4),MONTH(M$4),1),ExpDocDate,"&lt;="&amp;M$4,ExpAccount,LEFT($A25,5)&amp;"*"),-SUMIFS(IncExcl,IncDocDate,"&gt;="&amp;DATE(YEAR(M$4),MONTH(M$4),1),IncDocDate,"&lt;="&amp;M$4,IncAccount,$A25)+SUMIFS(ExpExcl,ExpDocDate,"&gt;="&amp;DATE(YEAR(M$4),MONTH(M$4),1),ExpDocDate,"&lt;="&amp;M$4,ExpAccount,$A25))</f>
        <v>0</v>
      </c>
      <c r="N25" s="34" cm="1">
        <f t="array" aca="1" ref="N25" ca="1">IF(RIGHT($A25,1)="G",-SUMIFS(IncExcl,IncDocDate,"&gt;="&amp;DATE(YEAR(N$4),MONTH(N$4),1),IncDocDate,"&lt;="&amp;N$4,IncAccount,LEFT($A25,5)&amp;"*")+SUMIFS(ExpExcl,ExpDocDate,"&gt;="&amp;DATE(YEAR(N$4),MONTH(N$4),1),ExpDocDate,"&lt;="&amp;N$4,ExpAccount,LEFT($A25,5)&amp;"*"),-SUMIFS(IncExcl,IncDocDate,"&gt;="&amp;DATE(YEAR(N$4),MONTH(N$4),1),IncDocDate,"&lt;="&amp;N$4,IncAccount,$A25)+SUMIFS(ExpExcl,ExpDocDate,"&gt;="&amp;DATE(YEAR(N$4),MONTH(N$4),1),ExpDocDate,"&lt;="&amp;N$4,ExpAccount,$A25))</f>
        <v>0</v>
      </c>
      <c r="O25" s="188">
        <f t="shared" ca="1" si="3"/>
        <v>0</v>
      </c>
      <c r="P25" s="188" cm="1">
        <f t="array" aca="1" ref="P25" ca="1">IF(RIGHT($A25,1)="G",-SUMIFS(IncExcl,IncDocDate,"&gt;="&amp;$P$2,IncDocDate,"&lt;="&amp;$P$3,IncAccount,LEFT($A25,5)&amp;"*")+SUMIFS(ExpExcl,ExpDocDate,"&gt;="&amp;$P$2,ExpDocDate,"&lt;="&amp;$P$3,ExpAccount,LEFT($A25,5)&amp;"*"),-SUMIFS(IncExcl,IncDocDate,"&gt;="&amp;$P$2,IncDocDate,"&lt;="&amp;$P$3,IncAccount,$A25)+SUMIFS(ExpExcl,ExpDocDate,"&gt;="&amp;$P$2,ExpDocDate,"&lt;="&amp;$P$3,ExpAccount,$A25))</f>
        <v>0</v>
      </c>
    </row>
    <row r="26" spans="1:16" ht="15.95" customHeight="1" x14ac:dyDescent="0.3">
      <c r="A26" s="277" t="s">
        <v>196</v>
      </c>
      <c r="B26" s="12" t="str">
        <f ca="1">IF(RIGHT($A26,1)="G",IF(ISNA(VLOOKUP(LEFT($A26,LEN($A26)-1),GroupAll,COLUMN(Groups!$B$4),0)),"Group Not Found",VLOOKUP(LEFT($A26,LEN($A26)-1),GroupAll,COLUMN(Groups!$B$4),0)),IF(ISNA(VLOOKUP($A26,AccountAll,COLUMN(TB!$B$4),0)),"Account Not Found",VLOOKUP($A26,AccountAll,COLUMN(TB!$B$4),0)))</f>
        <v>Subscriptions &amp; Memberships</v>
      </c>
      <c r="C26" s="34" cm="1">
        <f t="array" aca="1" ref="C26" ca="1">IF(RIGHT($A26,1)="G",-SUMIFS(IncExcl,IncDocDate,"&gt;="&amp;DATE(YEAR(C$4),MONTH(C$4),1),IncDocDate,"&lt;="&amp;C$4,IncAccount,LEFT($A26,5)&amp;"*")+SUMIFS(ExpExcl,ExpDocDate,"&gt;="&amp;DATE(YEAR(C$4),MONTH(C$4),1),ExpDocDate,"&lt;="&amp;C$4,ExpAccount,LEFT($A26,5)&amp;"*"),-SUMIFS(IncExcl,IncDocDate,"&gt;="&amp;DATE(YEAR(C$4),MONTH(C$4),1),IncDocDate,"&lt;="&amp;C$4,IncAccount,$A26)+SUMIFS(ExpExcl,ExpDocDate,"&gt;="&amp;DATE(YEAR(C$4),MONTH(C$4),1),ExpDocDate,"&lt;="&amp;C$4,ExpAccount,$A26))</f>
        <v>0</v>
      </c>
      <c r="D26" s="34" cm="1">
        <f t="array" aca="1" ref="D26" ca="1">IF(RIGHT($A26,1)="G",-SUMIFS(IncExcl,IncDocDate,"&gt;="&amp;DATE(YEAR(D$4),MONTH(D$4),1),IncDocDate,"&lt;="&amp;D$4,IncAccount,LEFT($A26,5)&amp;"*")+SUMIFS(ExpExcl,ExpDocDate,"&gt;="&amp;DATE(YEAR(D$4),MONTH(D$4),1),ExpDocDate,"&lt;="&amp;D$4,ExpAccount,LEFT($A26,5)&amp;"*"),-SUMIFS(IncExcl,IncDocDate,"&gt;="&amp;DATE(YEAR(D$4),MONTH(D$4),1),IncDocDate,"&lt;="&amp;D$4,IncAccount,$A26)+SUMIFS(ExpExcl,ExpDocDate,"&gt;="&amp;DATE(YEAR(D$4),MONTH(D$4),1),ExpDocDate,"&lt;="&amp;D$4,ExpAccount,$A26))</f>
        <v>0</v>
      </c>
      <c r="E26" s="34" cm="1">
        <f t="array" aca="1" ref="E26" ca="1">IF(RIGHT($A26,1)="G",-SUMIFS(IncExcl,IncDocDate,"&gt;="&amp;DATE(YEAR(E$4),MONTH(E$4),1),IncDocDate,"&lt;="&amp;E$4,IncAccount,LEFT($A26,5)&amp;"*")+SUMIFS(ExpExcl,ExpDocDate,"&gt;="&amp;DATE(YEAR(E$4),MONTH(E$4),1),ExpDocDate,"&lt;="&amp;E$4,ExpAccount,LEFT($A26,5)&amp;"*"),-SUMIFS(IncExcl,IncDocDate,"&gt;="&amp;DATE(YEAR(E$4),MONTH(E$4),1),IncDocDate,"&lt;="&amp;E$4,IncAccount,$A26)+SUMIFS(ExpExcl,ExpDocDate,"&gt;="&amp;DATE(YEAR(E$4),MONTH(E$4),1),ExpDocDate,"&lt;="&amp;E$4,ExpAccount,$A26))</f>
        <v>0</v>
      </c>
      <c r="F26" s="34" cm="1">
        <f t="array" aca="1" ref="F26" ca="1">IF(RIGHT($A26,1)="G",-SUMIFS(IncExcl,IncDocDate,"&gt;="&amp;DATE(YEAR(F$4),MONTH(F$4),1),IncDocDate,"&lt;="&amp;F$4,IncAccount,LEFT($A26,5)&amp;"*")+SUMIFS(ExpExcl,ExpDocDate,"&gt;="&amp;DATE(YEAR(F$4),MONTH(F$4),1),ExpDocDate,"&lt;="&amp;F$4,ExpAccount,LEFT($A26,5)&amp;"*"),-SUMIFS(IncExcl,IncDocDate,"&gt;="&amp;DATE(YEAR(F$4),MONTH(F$4),1),IncDocDate,"&lt;="&amp;F$4,IncAccount,$A26)+SUMIFS(ExpExcl,ExpDocDate,"&gt;="&amp;DATE(YEAR(F$4),MONTH(F$4),1),ExpDocDate,"&lt;="&amp;F$4,ExpAccount,$A26))</f>
        <v>0</v>
      </c>
      <c r="G26" s="34" cm="1">
        <f t="array" aca="1" ref="G26" ca="1">IF(RIGHT($A26,1)="G",-SUMIFS(IncExcl,IncDocDate,"&gt;="&amp;DATE(YEAR(G$4),MONTH(G$4),1),IncDocDate,"&lt;="&amp;G$4,IncAccount,LEFT($A26,5)&amp;"*")+SUMIFS(ExpExcl,ExpDocDate,"&gt;="&amp;DATE(YEAR(G$4),MONTH(G$4),1),ExpDocDate,"&lt;="&amp;G$4,ExpAccount,LEFT($A26,5)&amp;"*"),-SUMIFS(IncExcl,IncDocDate,"&gt;="&amp;DATE(YEAR(G$4),MONTH(G$4),1),IncDocDate,"&lt;="&amp;G$4,IncAccount,$A26)+SUMIFS(ExpExcl,ExpDocDate,"&gt;="&amp;DATE(YEAR(G$4),MONTH(G$4),1),ExpDocDate,"&lt;="&amp;G$4,ExpAccount,$A26))</f>
        <v>0</v>
      </c>
      <c r="H26" s="34" cm="1">
        <f t="array" aca="1" ref="H26" ca="1">IF(RIGHT($A26,1)="G",-SUMIFS(IncExcl,IncDocDate,"&gt;="&amp;DATE(YEAR(H$4),MONTH(H$4),1),IncDocDate,"&lt;="&amp;H$4,IncAccount,LEFT($A26,5)&amp;"*")+SUMIFS(ExpExcl,ExpDocDate,"&gt;="&amp;DATE(YEAR(H$4),MONTH(H$4),1),ExpDocDate,"&lt;="&amp;H$4,ExpAccount,LEFT($A26,5)&amp;"*"),-SUMIFS(IncExcl,IncDocDate,"&gt;="&amp;DATE(YEAR(H$4),MONTH(H$4),1),IncDocDate,"&lt;="&amp;H$4,IncAccount,$A26)+SUMIFS(ExpExcl,ExpDocDate,"&gt;="&amp;DATE(YEAR(H$4),MONTH(H$4),1),ExpDocDate,"&lt;="&amp;H$4,ExpAccount,$A26))</f>
        <v>0</v>
      </c>
      <c r="I26" s="34" cm="1">
        <f t="array" aca="1" ref="I26" ca="1">IF(RIGHT($A26,1)="G",-SUMIFS(IncExcl,IncDocDate,"&gt;="&amp;DATE(YEAR(I$4),MONTH(I$4),1),IncDocDate,"&lt;="&amp;I$4,IncAccount,LEFT($A26,5)&amp;"*")+SUMIFS(ExpExcl,ExpDocDate,"&gt;="&amp;DATE(YEAR(I$4),MONTH(I$4),1),ExpDocDate,"&lt;="&amp;I$4,ExpAccount,LEFT($A26,5)&amp;"*"),-SUMIFS(IncExcl,IncDocDate,"&gt;="&amp;DATE(YEAR(I$4),MONTH(I$4),1),IncDocDate,"&lt;="&amp;I$4,IncAccount,$A26)+SUMIFS(ExpExcl,ExpDocDate,"&gt;="&amp;DATE(YEAR(I$4),MONTH(I$4),1),ExpDocDate,"&lt;="&amp;I$4,ExpAccount,$A26))</f>
        <v>0</v>
      </c>
      <c r="J26" s="34" cm="1">
        <f t="array" aca="1" ref="J26" ca="1">IF(RIGHT($A26,1)="G",-SUMIFS(IncExcl,IncDocDate,"&gt;="&amp;DATE(YEAR(J$4),MONTH(J$4),1),IncDocDate,"&lt;="&amp;J$4,IncAccount,LEFT($A26,5)&amp;"*")+SUMIFS(ExpExcl,ExpDocDate,"&gt;="&amp;DATE(YEAR(J$4),MONTH(J$4),1),ExpDocDate,"&lt;="&amp;J$4,ExpAccount,LEFT($A26,5)&amp;"*"),-SUMIFS(IncExcl,IncDocDate,"&gt;="&amp;DATE(YEAR(J$4),MONTH(J$4),1),IncDocDate,"&lt;="&amp;J$4,IncAccount,$A26)+SUMIFS(ExpExcl,ExpDocDate,"&gt;="&amp;DATE(YEAR(J$4),MONTH(J$4),1),ExpDocDate,"&lt;="&amp;J$4,ExpAccount,$A26))</f>
        <v>0</v>
      </c>
      <c r="K26" s="34" cm="1">
        <f t="array" aca="1" ref="K26" ca="1">IF(RIGHT($A26,1)="G",-SUMIFS(IncExcl,IncDocDate,"&gt;="&amp;DATE(YEAR(K$4),MONTH(K$4),1),IncDocDate,"&lt;="&amp;K$4,IncAccount,LEFT($A26,5)&amp;"*")+SUMIFS(ExpExcl,ExpDocDate,"&gt;="&amp;DATE(YEAR(K$4),MONTH(K$4),1),ExpDocDate,"&lt;="&amp;K$4,ExpAccount,LEFT($A26,5)&amp;"*"),-SUMIFS(IncExcl,IncDocDate,"&gt;="&amp;DATE(YEAR(K$4),MONTH(K$4),1),IncDocDate,"&lt;="&amp;K$4,IncAccount,$A26)+SUMIFS(ExpExcl,ExpDocDate,"&gt;="&amp;DATE(YEAR(K$4),MONTH(K$4),1),ExpDocDate,"&lt;="&amp;K$4,ExpAccount,$A26))</f>
        <v>0</v>
      </c>
      <c r="L26" s="34" cm="1">
        <f t="array" aca="1" ref="L26" ca="1">IF(RIGHT($A26,1)="G",-SUMIFS(IncExcl,IncDocDate,"&gt;="&amp;DATE(YEAR(L$4),MONTH(L$4),1),IncDocDate,"&lt;="&amp;L$4,IncAccount,LEFT($A26,5)&amp;"*")+SUMIFS(ExpExcl,ExpDocDate,"&gt;="&amp;DATE(YEAR(L$4),MONTH(L$4),1),ExpDocDate,"&lt;="&amp;L$4,ExpAccount,LEFT($A26,5)&amp;"*"),-SUMIFS(IncExcl,IncDocDate,"&gt;="&amp;DATE(YEAR(L$4),MONTH(L$4),1),IncDocDate,"&lt;="&amp;L$4,IncAccount,$A26)+SUMIFS(ExpExcl,ExpDocDate,"&gt;="&amp;DATE(YEAR(L$4),MONTH(L$4),1),ExpDocDate,"&lt;="&amp;L$4,ExpAccount,$A26))</f>
        <v>0</v>
      </c>
      <c r="M26" s="34" cm="1">
        <f t="array" aca="1" ref="M26" ca="1">IF(RIGHT($A26,1)="G",-SUMIFS(IncExcl,IncDocDate,"&gt;="&amp;DATE(YEAR(M$4),MONTH(M$4),1),IncDocDate,"&lt;="&amp;M$4,IncAccount,LEFT($A26,5)&amp;"*")+SUMIFS(ExpExcl,ExpDocDate,"&gt;="&amp;DATE(YEAR(M$4),MONTH(M$4),1),ExpDocDate,"&lt;="&amp;M$4,ExpAccount,LEFT($A26,5)&amp;"*"),-SUMIFS(IncExcl,IncDocDate,"&gt;="&amp;DATE(YEAR(M$4),MONTH(M$4),1),IncDocDate,"&lt;="&amp;M$4,IncAccount,$A26)+SUMIFS(ExpExcl,ExpDocDate,"&gt;="&amp;DATE(YEAR(M$4),MONTH(M$4),1),ExpDocDate,"&lt;="&amp;M$4,ExpAccount,$A26))</f>
        <v>0</v>
      </c>
      <c r="N26" s="34" cm="1">
        <f t="array" aca="1" ref="N26" ca="1">IF(RIGHT($A26,1)="G",-SUMIFS(IncExcl,IncDocDate,"&gt;="&amp;DATE(YEAR(N$4),MONTH(N$4),1),IncDocDate,"&lt;="&amp;N$4,IncAccount,LEFT($A26,5)&amp;"*")+SUMIFS(ExpExcl,ExpDocDate,"&gt;="&amp;DATE(YEAR(N$4),MONTH(N$4),1),ExpDocDate,"&lt;="&amp;N$4,ExpAccount,LEFT($A26,5)&amp;"*"),-SUMIFS(IncExcl,IncDocDate,"&gt;="&amp;DATE(YEAR(N$4),MONTH(N$4),1),IncDocDate,"&lt;="&amp;N$4,IncAccount,$A26)+SUMIFS(ExpExcl,ExpDocDate,"&gt;="&amp;DATE(YEAR(N$4),MONTH(N$4),1),ExpDocDate,"&lt;="&amp;N$4,ExpAccount,$A26))</f>
        <v>0</v>
      </c>
      <c r="O26" s="188">
        <f t="shared" ca="1" si="3"/>
        <v>0</v>
      </c>
      <c r="P26" s="188" cm="1">
        <f t="array" aca="1" ref="P26" ca="1">IF(RIGHT($A26,1)="G",-SUMIFS(IncExcl,IncDocDate,"&gt;="&amp;$P$2,IncDocDate,"&lt;="&amp;$P$3,IncAccount,LEFT($A26,5)&amp;"*")+SUMIFS(ExpExcl,ExpDocDate,"&gt;="&amp;$P$2,ExpDocDate,"&lt;="&amp;$P$3,ExpAccount,LEFT($A26,5)&amp;"*"),-SUMIFS(IncExcl,IncDocDate,"&gt;="&amp;$P$2,IncDocDate,"&lt;="&amp;$P$3,IncAccount,$A26)+SUMIFS(ExpExcl,ExpDocDate,"&gt;="&amp;$P$2,ExpDocDate,"&lt;="&amp;$P$3,ExpAccount,$A26))</f>
        <v>0</v>
      </c>
    </row>
    <row r="27" spans="1:16" ht="15.95" customHeight="1" x14ac:dyDescent="0.3">
      <c r="A27" s="277" t="s">
        <v>197</v>
      </c>
      <c r="B27" s="12" t="str">
        <f ca="1">IF(RIGHT($A27,1)="G",IF(ISNA(VLOOKUP(LEFT($A27,LEN($A27)-1),GroupAll,COLUMN(Groups!$B$4),0)),"Group Not Found",VLOOKUP(LEFT($A27,LEN($A27)-1),GroupAll,COLUMN(Groups!$B$4),0)),IF(ISNA(VLOOKUP($A27,AccountAll,COLUMN(TB!$B$4),0)),"Account Not Found",VLOOKUP($A27,AccountAll,COLUMN(TB!$B$4),0)))</f>
        <v>Telephone &amp; Internet</v>
      </c>
      <c r="C27" s="34" cm="1">
        <f t="array" aca="1" ref="C27" ca="1">IF(RIGHT($A27,1)="G",-SUMIFS(IncExcl,IncDocDate,"&gt;="&amp;DATE(YEAR(C$4),MONTH(C$4),1),IncDocDate,"&lt;="&amp;C$4,IncAccount,LEFT($A27,5)&amp;"*")+SUMIFS(ExpExcl,ExpDocDate,"&gt;="&amp;DATE(YEAR(C$4),MONTH(C$4),1),ExpDocDate,"&lt;="&amp;C$4,ExpAccount,LEFT($A27,5)&amp;"*"),-SUMIFS(IncExcl,IncDocDate,"&gt;="&amp;DATE(YEAR(C$4),MONTH(C$4),1),IncDocDate,"&lt;="&amp;C$4,IncAccount,$A27)+SUMIFS(ExpExcl,ExpDocDate,"&gt;="&amp;DATE(YEAR(C$4),MONTH(C$4),1),ExpDocDate,"&lt;="&amp;C$4,ExpAccount,$A27))</f>
        <v>710798.40677966108</v>
      </c>
      <c r="D27" s="34" cm="1">
        <f t="array" aca="1" ref="D27" ca="1">IF(RIGHT($A27,1)="G",-SUMIFS(IncExcl,IncDocDate,"&gt;="&amp;DATE(YEAR(D$4),MONTH(D$4),1),IncDocDate,"&lt;="&amp;D$4,IncAccount,LEFT($A27,5)&amp;"*")+SUMIFS(ExpExcl,ExpDocDate,"&gt;="&amp;DATE(YEAR(D$4),MONTH(D$4),1),ExpDocDate,"&lt;="&amp;D$4,ExpAccount,LEFT($A27,5)&amp;"*"),-SUMIFS(IncExcl,IncDocDate,"&gt;="&amp;DATE(YEAR(D$4),MONTH(D$4),1),IncDocDate,"&lt;="&amp;D$4,IncAccount,$A27)+SUMIFS(ExpExcl,ExpDocDate,"&gt;="&amp;DATE(YEAR(D$4),MONTH(D$4),1),ExpDocDate,"&lt;="&amp;D$4,ExpAccount,$A27))</f>
        <v>0</v>
      </c>
      <c r="E27" s="34" cm="1">
        <f t="array" aca="1" ref="E27" ca="1">IF(RIGHT($A27,1)="G",-SUMIFS(IncExcl,IncDocDate,"&gt;="&amp;DATE(YEAR(E$4),MONTH(E$4),1),IncDocDate,"&lt;="&amp;E$4,IncAccount,LEFT($A27,5)&amp;"*")+SUMIFS(ExpExcl,ExpDocDate,"&gt;="&amp;DATE(YEAR(E$4),MONTH(E$4),1),ExpDocDate,"&lt;="&amp;E$4,ExpAccount,LEFT($A27,5)&amp;"*"),-SUMIFS(IncExcl,IncDocDate,"&gt;="&amp;DATE(YEAR(E$4),MONTH(E$4),1),IncDocDate,"&lt;="&amp;E$4,IncAccount,$A27)+SUMIFS(ExpExcl,ExpDocDate,"&gt;="&amp;DATE(YEAR(E$4),MONTH(E$4),1),ExpDocDate,"&lt;="&amp;E$4,ExpAccount,$A27))</f>
        <v>0</v>
      </c>
      <c r="F27" s="34" cm="1">
        <f t="array" aca="1" ref="F27" ca="1">IF(RIGHT($A27,1)="G",-SUMIFS(IncExcl,IncDocDate,"&gt;="&amp;DATE(YEAR(F$4),MONTH(F$4),1),IncDocDate,"&lt;="&amp;F$4,IncAccount,LEFT($A27,5)&amp;"*")+SUMIFS(ExpExcl,ExpDocDate,"&gt;="&amp;DATE(YEAR(F$4),MONTH(F$4),1),ExpDocDate,"&lt;="&amp;F$4,ExpAccount,LEFT($A27,5)&amp;"*"),-SUMIFS(IncExcl,IncDocDate,"&gt;="&amp;DATE(YEAR(F$4),MONTH(F$4),1),IncDocDate,"&lt;="&amp;F$4,IncAccount,$A27)+SUMIFS(ExpExcl,ExpDocDate,"&gt;="&amp;DATE(YEAR(F$4),MONTH(F$4),1),ExpDocDate,"&lt;="&amp;F$4,ExpAccount,$A27))</f>
        <v>0</v>
      </c>
      <c r="G27" s="34" cm="1">
        <f t="array" aca="1" ref="G27" ca="1">IF(RIGHT($A27,1)="G",-SUMIFS(IncExcl,IncDocDate,"&gt;="&amp;DATE(YEAR(G$4),MONTH(G$4),1),IncDocDate,"&lt;="&amp;G$4,IncAccount,LEFT($A27,5)&amp;"*")+SUMIFS(ExpExcl,ExpDocDate,"&gt;="&amp;DATE(YEAR(G$4),MONTH(G$4),1),ExpDocDate,"&lt;="&amp;G$4,ExpAccount,LEFT($A27,5)&amp;"*"),-SUMIFS(IncExcl,IncDocDate,"&gt;="&amp;DATE(YEAR(G$4),MONTH(G$4),1),IncDocDate,"&lt;="&amp;G$4,IncAccount,$A27)+SUMIFS(ExpExcl,ExpDocDate,"&gt;="&amp;DATE(YEAR(G$4),MONTH(G$4),1),ExpDocDate,"&lt;="&amp;G$4,ExpAccount,$A27))</f>
        <v>0</v>
      </c>
      <c r="H27" s="34" cm="1">
        <f t="array" aca="1" ref="H27" ca="1">IF(RIGHT($A27,1)="G",-SUMIFS(IncExcl,IncDocDate,"&gt;="&amp;DATE(YEAR(H$4),MONTH(H$4),1),IncDocDate,"&lt;="&amp;H$4,IncAccount,LEFT($A27,5)&amp;"*")+SUMIFS(ExpExcl,ExpDocDate,"&gt;="&amp;DATE(YEAR(H$4),MONTH(H$4),1),ExpDocDate,"&lt;="&amp;H$4,ExpAccount,LEFT($A27,5)&amp;"*"),-SUMIFS(IncExcl,IncDocDate,"&gt;="&amp;DATE(YEAR(H$4),MONTH(H$4),1),IncDocDate,"&lt;="&amp;H$4,IncAccount,$A27)+SUMIFS(ExpExcl,ExpDocDate,"&gt;="&amp;DATE(YEAR(H$4),MONTH(H$4),1),ExpDocDate,"&lt;="&amp;H$4,ExpAccount,$A27))</f>
        <v>0</v>
      </c>
      <c r="I27" s="34" cm="1">
        <f t="array" aca="1" ref="I27" ca="1">IF(RIGHT($A27,1)="G",-SUMIFS(IncExcl,IncDocDate,"&gt;="&amp;DATE(YEAR(I$4),MONTH(I$4),1),IncDocDate,"&lt;="&amp;I$4,IncAccount,LEFT($A27,5)&amp;"*")+SUMIFS(ExpExcl,ExpDocDate,"&gt;="&amp;DATE(YEAR(I$4),MONTH(I$4),1),ExpDocDate,"&lt;="&amp;I$4,ExpAccount,LEFT($A27,5)&amp;"*"),-SUMIFS(IncExcl,IncDocDate,"&gt;="&amp;DATE(YEAR(I$4),MONTH(I$4),1),IncDocDate,"&lt;="&amp;I$4,IncAccount,$A27)+SUMIFS(ExpExcl,ExpDocDate,"&gt;="&amp;DATE(YEAR(I$4),MONTH(I$4),1),ExpDocDate,"&lt;="&amp;I$4,ExpAccount,$A27))</f>
        <v>0</v>
      </c>
      <c r="J27" s="34" cm="1">
        <f t="array" aca="1" ref="J27" ca="1">IF(RIGHT($A27,1)="G",-SUMIFS(IncExcl,IncDocDate,"&gt;="&amp;DATE(YEAR(J$4),MONTH(J$4),1),IncDocDate,"&lt;="&amp;J$4,IncAccount,LEFT($A27,5)&amp;"*")+SUMIFS(ExpExcl,ExpDocDate,"&gt;="&amp;DATE(YEAR(J$4),MONTH(J$4),1),ExpDocDate,"&lt;="&amp;J$4,ExpAccount,LEFT($A27,5)&amp;"*"),-SUMIFS(IncExcl,IncDocDate,"&gt;="&amp;DATE(YEAR(J$4),MONTH(J$4),1),IncDocDate,"&lt;="&amp;J$4,IncAccount,$A27)+SUMIFS(ExpExcl,ExpDocDate,"&gt;="&amp;DATE(YEAR(J$4),MONTH(J$4),1),ExpDocDate,"&lt;="&amp;J$4,ExpAccount,$A27))</f>
        <v>0</v>
      </c>
      <c r="K27" s="34" cm="1">
        <f t="array" aca="1" ref="K27" ca="1">IF(RIGHT($A27,1)="G",-SUMIFS(IncExcl,IncDocDate,"&gt;="&amp;DATE(YEAR(K$4),MONTH(K$4),1),IncDocDate,"&lt;="&amp;K$4,IncAccount,LEFT($A27,5)&amp;"*")+SUMIFS(ExpExcl,ExpDocDate,"&gt;="&amp;DATE(YEAR(K$4),MONTH(K$4),1),ExpDocDate,"&lt;="&amp;K$4,ExpAccount,LEFT($A27,5)&amp;"*"),-SUMIFS(IncExcl,IncDocDate,"&gt;="&amp;DATE(YEAR(K$4),MONTH(K$4),1),IncDocDate,"&lt;="&amp;K$4,IncAccount,$A27)+SUMIFS(ExpExcl,ExpDocDate,"&gt;="&amp;DATE(YEAR(K$4),MONTH(K$4),1),ExpDocDate,"&lt;="&amp;K$4,ExpAccount,$A27))</f>
        <v>0</v>
      </c>
      <c r="L27" s="34" cm="1">
        <f t="array" aca="1" ref="L27" ca="1">IF(RIGHT($A27,1)="G",-SUMIFS(IncExcl,IncDocDate,"&gt;="&amp;DATE(YEAR(L$4),MONTH(L$4),1),IncDocDate,"&lt;="&amp;L$4,IncAccount,LEFT($A27,5)&amp;"*")+SUMIFS(ExpExcl,ExpDocDate,"&gt;="&amp;DATE(YEAR(L$4),MONTH(L$4),1),ExpDocDate,"&lt;="&amp;L$4,ExpAccount,LEFT($A27,5)&amp;"*"),-SUMIFS(IncExcl,IncDocDate,"&gt;="&amp;DATE(YEAR(L$4),MONTH(L$4),1),IncDocDate,"&lt;="&amp;L$4,IncAccount,$A27)+SUMIFS(ExpExcl,ExpDocDate,"&gt;="&amp;DATE(YEAR(L$4),MONTH(L$4),1),ExpDocDate,"&lt;="&amp;L$4,ExpAccount,$A27))</f>
        <v>0</v>
      </c>
      <c r="M27" s="34" cm="1">
        <f t="array" aca="1" ref="M27" ca="1">IF(RIGHT($A27,1)="G",-SUMIFS(IncExcl,IncDocDate,"&gt;="&amp;DATE(YEAR(M$4),MONTH(M$4),1),IncDocDate,"&lt;="&amp;M$4,IncAccount,LEFT($A27,5)&amp;"*")+SUMIFS(ExpExcl,ExpDocDate,"&gt;="&amp;DATE(YEAR(M$4),MONTH(M$4),1),ExpDocDate,"&lt;="&amp;M$4,ExpAccount,LEFT($A27,5)&amp;"*"),-SUMIFS(IncExcl,IncDocDate,"&gt;="&amp;DATE(YEAR(M$4),MONTH(M$4),1),IncDocDate,"&lt;="&amp;M$4,IncAccount,$A27)+SUMIFS(ExpExcl,ExpDocDate,"&gt;="&amp;DATE(YEAR(M$4),MONTH(M$4),1),ExpDocDate,"&lt;="&amp;M$4,ExpAccount,$A27))</f>
        <v>0</v>
      </c>
      <c r="N27" s="34" cm="1">
        <f t="array" aca="1" ref="N27" ca="1">IF(RIGHT($A27,1)="G",-SUMIFS(IncExcl,IncDocDate,"&gt;="&amp;DATE(YEAR(N$4),MONTH(N$4),1),IncDocDate,"&lt;="&amp;N$4,IncAccount,LEFT($A27,5)&amp;"*")+SUMIFS(ExpExcl,ExpDocDate,"&gt;="&amp;DATE(YEAR(N$4),MONTH(N$4),1),ExpDocDate,"&lt;="&amp;N$4,ExpAccount,LEFT($A27,5)&amp;"*"),-SUMIFS(IncExcl,IncDocDate,"&gt;="&amp;DATE(YEAR(N$4),MONTH(N$4),1),IncDocDate,"&lt;="&amp;N$4,IncAccount,$A27)+SUMIFS(ExpExcl,ExpDocDate,"&gt;="&amp;DATE(YEAR(N$4),MONTH(N$4),1),ExpDocDate,"&lt;="&amp;N$4,ExpAccount,$A27))</f>
        <v>0</v>
      </c>
      <c r="O27" s="188">
        <f t="shared" ca="1" si="3"/>
        <v>710798.40677966108</v>
      </c>
      <c r="P27" s="188" cm="1">
        <f t="array" aca="1" ref="P27" ca="1">IF(RIGHT($A27,1)="G",-SUMIFS(IncExcl,IncDocDate,"&gt;="&amp;$P$2,IncDocDate,"&lt;="&amp;$P$3,IncAccount,LEFT($A27,5)&amp;"*")+SUMIFS(ExpExcl,ExpDocDate,"&gt;="&amp;$P$2,ExpDocDate,"&lt;="&amp;$P$3,ExpAccount,LEFT($A27,5)&amp;"*"),-SUMIFS(IncExcl,IncDocDate,"&gt;="&amp;$P$2,IncDocDate,"&lt;="&amp;$P$3,IncAccount,$A27)+SUMIFS(ExpExcl,ExpDocDate,"&gt;="&amp;$P$2,ExpDocDate,"&lt;="&amp;$P$3,ExpAccount,$A27))</f>
        <v>0</v>
      </c>
    </row>
    <row r="28" spans="1:16" ht="15.95" customHeight="1" x14ac:dyDescent="0.3">
      <c r="A28" s="277" t="s">
        <v>198</v>
      </c>
      <c r="B28" s="12" t="str">
        <f ca="1">IF(RIGHT($A28,1)="G",IF(ISNA(VLOOKUP(LEFT($A28,LEN($A28)-1),GroupAll,COLUMN(Groups!$B$4),0)),"Group Not Found",VLOOKUP(LEFT($A28,LEN($A28)-1),GroupAll,COLUMN(Groups!$B$4),0)),IF(ISNA(VLOOKUP($A28,AccountAll,COLUMN(TB!$B$4),0)),"Account Not Found",VLOOKUP($A28,AccountAll,COLUMN(TB!$B$4),0)))</f>
        <v>Training</v>
      </c>
      <c r="C28" s="34" cm="1">
        <f t="array" aca="1" ref="C28" ca="1">IF(RIGHT($A28,1)="G",-SUMIFS(IncExcl,IncDocDate,"&gt;="&amp;DATE(YEAR(C$4),MONTH(C$4),1),IncDocDate,"&lt;="&amp;C$4,IncAccount,LEFT($A28,5)&amp;"*")+SUMIFS(ExpExcl,ExpDocDate,"&gt;="&amp;DATE(YEAR(C$4),MONTH(C$4),1),ExpDocDate,"&lt;="&amp;C$4,ExpAccount,LEFT($A28,5)&amp;"*"),-SUMIFS(IncExcl,IncDocDate,"&gt;="&amp;DATE(YEAR(C$4),MONTH(C$4),1),IncDocDate,"&lt;="&amp;C$4,IncAccount,$A28)+SUMIFS(ExpExcl,ExpDocDate,"&gt;="&amp;DATE(YEAR(C$4),MONTH(C$4),1),ExpDocDate,"&lt;="&amp;C$4,ExpAccount,$A28))</f>
        <v>0</v>
      </c>
      <c r="D28" s="34" cm="1">
        <f t="array" aca="1" ref="D28" ca="1">IF(RIGHT($A28,1)="G",-SUMIFS(IncExcl,IncDocDate,"&gt;="&amp;DATE(YEAR(D$4),MONTH(D$4),1),IncDocDate,"&lt;="&amp;D$4,IncAccount,LEFT($A28,5)&amp;"*")+SUMIFS(ExpExcl,ExpDocDate,"&gt;="&amp;DATE(YEAR(D$4),MONTH(D$4),1),ExpDocDate,"&lt;="&amp;D$4,ExpAccount,LEFT($A28,5)&amp;"*"),-SUMIFS(IncExcl,IncDocDate,"&gt;="&amp;DATE(YEAR(D$4),MONTH(D$4),1),IncDocDate,"&lt;="&amp;D$4,IncAccount,$A28)+SUMIFS(ExpExcl,ExpDocDate,"&gt;="&amp;DATE(YEAR(D$4),MONTH(D$4),1),ExpDocDate,"&lt;="&amp;D$4,ExpAccount,$A28))</f>
        <v>0</v>
      </c>
      <c r="E28" s="34" cm="1">
        <f t="array" aca="1" ref="E28" ca="1">IF(RIGHT($A28,1)="G",-SUMIFS(IncExcl,IncDocDate,"&gt;="&amp;DATE(YEAR(E$4),MONTH(E$4),1),IncDocDate,"&lt;="&amp;E$4,IncAccount,LEFT($A28,5)&amp;"*")+SUMIFS(ExpExcl,ExpDocDate,"&gt;="&amp;DATE(YEAR(E$4),MONTH(E$4),1),ExpDocDate,"&lt;="&amp;E$4,ExpAccount,LEFT($A28,5)&amp;"*"),-SUMIFS(IncExcl,IncDocDate,"&gt;="&amp;DATE(YEAR(E$4),MONTH(E$4),1),IncDocDate,"&lt;="&amp;E$4,IncAccount,$A28)+SUMIFS(ExpExcl,ExpDocDate,"&gt;="&amp;DATE(YEAR(E$4),MONTH(E$4),1),ExpDocDate,"&lt;="&amp;E$4,ExpAccount,$A28))</f>
        <v>0</v>
      </c>
      <c r="F28" s="34" cm="1">
        <f t="array" aca="1" ref="F28" ca="1">IF(RIGHT($A28,1)="G",-SUMIFS(IncExcl,IncDocDate,"&gt;="&amp;DATE(YEAR(F$4),MONTH(F$4),1),IncDocDate,"&lt;="&amp;F$4,IncAccount,LEFT($A28,5)&amp;"*")+SUMIFS(ExpExcl,ExpDocDate,"&gt;="&amp;DATE(YEAR(F$4),MONTH(F$4),1),ExpDocDate,"&lt;="&amp;F$4,ExpAccount,LEFT($A28,5)&amp;"*"),-SUMIFS(IncExcl,IncDocDate,"&gt;="&amp;DATE(YEAR(F$4),MONTH(F$4),1),IncDocDate,"&lt;="&amp;F$4,IncAccount,$A28)+SUMIFS(ExpExcl,ExpDocDate,"&gt;="&amp;DATE(YEAR(F$4),MONTH(F$4),1),ExpDocDate,"&lt;="&amp;F$4,ExpAccount,$A28))</f>
        <v>0</v>
      </c>
      <c r="G28" s="34" cm="1">
        <f t="array" aca="1" ref="G28" ca="1">IF(RIGHT($A28,1)="G",-SUMIFS(IncExcl,IncDocDate,"&gt;="&amp;DATE(YEAR(G$4),MONTH(G$4),1),IncDocDate,"&lt;="&amp;G$4,IncAccount,LEFT($A28,5)&amp;"*")+SUMIFS(ExpExcl,ExpDocDate,"&gt;="&amp;DATE(YEAR(G$4),MONTH(G$4),1),ExpDocDate,"&lt;="&amp;G$4,ExpAccount,LEFT($A28,5)&amp;"*"),-SUMIFS(IncExcl,IncDocDate,"&gt;="&amp;DATE(YEAR(G$4),MONTH(G$4),1),IncDocDate,"&lt;="&amp;G$4,IncAccount,$A28)+SUMIFS(ExpExcl,ExpDocDate,"&gt;="&amp;DATE(YEAR(G$4),MONTH(G$4),1),ExpDocDate,"&lt;="&amp;G$4,ExpAccount,$A28))</f>
        <v>0</v>
      </c>
      <c r="H28" s="34" cm="1">
        <f t="array" aca="1" ref="H28" ca="1">IF(RIGHT($A28,1)="G",-SUMIFS(IncExcl,IncDocDate,"&gt;="&amp;DATE(YEAR(H$4),MONTH(H$4),1),IncDocDate,"&lt;="&amp;H$4,IncAccount,LEFT($A28,5)&amp;"*")+SUMIFS(ExpExcl,ExpDocDate,"&gt;="&amp;DATE(YEAR(H$4),MONTH(H$4),1),ExpDocDate,"&lt;="&amp;H$4,ExpAccount,LEFT($A28,5)&amp;"*"),-SUMIFS(IncExcl,IncDocDate,"&gt;="&amp;DATE(YEAR(H$4),MONTH(H$4),1),IncDocDate,"&lt;="&amp;H$4,IncAccount,$A28)+SUMIFS(ExpExcl,ExpDocDate,"&gt;="&amp;DATE(YEAR(H$4),MONTH(H$4),1),ExpDocDate,"&lt;="&amp;H$4,ExpAccount,$A28))</f>
        <v>0</v>
      </c>
      <c r="I28" s="34" cm="1">
        <f t="array" aca="1" ref="I28" ca="1">IF(RIGHT($A28,1)="G",-SUMIFS(IncExcl,IncDocDate,"&gt;="&amp;DATE(YEAR(I$4),MONTH(I$4),1),IncDocDate,"&lt;="&amp;I$4,IncAccount,LEFT($A28,5)&amp;"*")+SUMIFS(ExpExcl,ExpDocDate,"&gt;="&amp;DATE(YEAR(I$4),MONTH(I$4),1),ExpDocDate,"&lt;="&amp;I$4,ExpAccount,LEFT($A28,5)&amp;"*"),-SUMIFS(IncExcl,IncDocDate,"&gt;="&amp;DATE(YEAR(I$4),MONTH(I$4),1),IncDocDate,"&lt;="&amp;I$4,IncAccount,$A28)+SUMIFS(ExpExcl,ExpDocDate,"&gt;="&amp;DATE(YEAR(I$4),MONTH(I$4),1),ExpDocDate,"&lt;="&amp;I$4,ExpAccount,$A28))</f>
        <v>0</v>
      </c>
      <c r="J28" s="34" cm="1">
        <f t="array" aca="1" ref="J28" ca="1">IF(RIGHT($A28,1)="G",-SUMIFS(IncExcl,IncDocDate,"&gt;="&amp;DATE(YEAR(J$4),MONTH(J$4),1),IncDocDate,"&lt;="&amp;J$4,IncAccount,LEFT($A28,5)&amp;"*")+SUMIFS(ExpExcl,ExpDocDate,"&gt;="&amp;DATE(YEAR(J$4),MONTH(J$4),1),ExpDocDate,"&lt;="&amp;J$4,ExpAccount,LEFT($A28,5)&amp;"*"),-SUMIFS(IncExcl,IncDocDate,"&gt;="&amp;DATE(YEAR(J$4),MONTH(J$4),1),IncDocDate,"&lt;="&amp;J$4,IncAccount,$A28)+SUMIFS(ExpExcl,ExpDocDate,"&gt;="&amp;DATE(YEAR(J$4),MONTH(J$4),1),ExpDocDate,"&lt;="&amp;J$4,ExpAccount,$A28))</f>
        <v>0</v>
      </c>
      <c r="K28" s="34" cm="1">
        <f t="array" aca="1" ref="K28" ca="1">IF(RIGHT($A28,1)="G",-SUMIFS(IncExcl,IncDocDate,"&gt;="&amp;DATE(YEAR(K$4),MONTH(K$4),1),IncDocDate,"&lt;="&amp;K$4,IncAccount,LEFT($A28,5)&amp;"*")+SUMIFS(ExpExcl,ExpDocDate,"&gt;="&amp;DATE(YEAR(K$4),MONTH(K$4),1),ExpDocDate,"&lt;="&amp;K$4,ExpAccount,LEFT($A28,5)&amp;"*"),-SUMIFS(IncExcl,IncDocDate,"&gt;="&amp;DATE(YEAR(K$4),MONTH(K$4),1),IncDocDate,"&lt;="&amp;K$4,IncAccount,$A28)+SUMIFS(ExpExcl,ExpDocDate,"&gt;="&amp;DATE(YEAR(K$4),MONTH(K$4),1),ExpDocDate,"&lt;="&amp;K$4,ExpAccount,$A28))</f>
        <v>0</v>
      </c>
      <c r="L28" s="34" cm="1">
        <f t="array" aca="1" ref="L28" ca="1">IF(RIGHT($A28,1)="G",-SUMIFS(IncExcl,IncDocDate,"&gt;="&amp;DATE(YEAR(L$4),MONTH(L$4),1),IncDocDate,"&lt;="&amp;L$4,IncAccount,LEFT($A28,5)&amp;"*")+SUMIFS(ExpExcl,ExpDocDate,"&gt;="&amp;DATE(YEAR(L$4),MONTH(L$4),1),ExpDocDate,"&lt;="&amp;L$4,ExpAccount,LEFT($A28,5)&amp;"*"),-SUMIFS(IncExcl,IncDocDate,"&gt;="&amp;DATE(YEAR(L$4),MONTH(L$4),1),IncDocDate,"&lt;="&amp;L$4,IncAccount,$A28)+SUMIFS(ExpExcl,ExpDocDate,"&gt;="&amp;DATE(YEAR(L$4),MONTH(L$4),1),ExpDocDate,"&lt;="&amp;L$4,ExpAccount,$A28))</f>
        <v>0</v>
      </c>
      <c r="M28" s="34" cm="1">
        <f t="array" aca="1" ref="M28" ca="1">IF(RIGHT($A28,1)="G",-SUMIFS(IncExcl,IncDocDate,"&gt;="&amp;DATE(YEAR(M$4),MONTH(M$4),1),IncDocDate,"&lt;="&amp;M$4,IncAccount,LEFT($A28,5)&amp;"*")+SUMIFS(ExpExcl,ExpDocDate,"&gt;="&amp;DATE(YEAR(M$4),MONTH(M$4),1),ExpDocDate,"&lt;="&amp;M$4,ExpAccount,LEFT($A28,5)&amp;"*"),-SUMIFS(IncExcl,IncDocDate,"&gt;="&amp;DATE(YEAR(M$4),MONTH(M$4),1),IncDocDate,"&lt;="&amp;M$4,IncAccount,$A28)+SUMIFS(ExpExcl,ExpDocDate,"&gt;="&amp;DATE(YEAR(M$4),MONTH(M$4),1),ExpDocDate,"&lt;="&amp;M$4,ExpAccount,$A28))</f>
        <v>0</v>
      </c>
      <c r="N28" s="34" cm="1">
        <f t="array" aca="1" ref="N28" ca="1">IF(RIGHT($A28,1)="G",-SUMIFS(IncExcl,IncDocDate,"&gt;="&amp;DATE(YEAR(N$4),MONTH(N$4),1),IncDocDate,"&lt;="&amp;N$4,IncAccount,LEFT($A28,5)&amp;"*")+SUMIFS(ExpExcl,ExpDocDate,"&gt;="&amp;DATE(YEAR(N$4),MONTH(N$4),1),ExpDocDate,"&lt;="&amp;N$4,ExpAccount,LEFT($A28,5)&amp;"*"),-SUMIFS(IncExcl,IncDocDate,"&gt;="&amp;DATE(YEAR(N$4),MONTH(N$4),1),IncDocDate,"&lt;="&amp;N$4,IncAccount,$A28)+SUMIFS(ExpExcl,ExpDocDate,"&gt;="&amp;DATE(YEAR(N$4),MONTH(N$4),1),ExpDocDate,"&lt;="&amp;N$4,ExpAccount,$A28))</f>
        <v>0</v>
      </c>
      <c r="O28" s="188">
        <f t="shared" ca="1" si="3"/>
        <v>0</v>
      </c>
      <c r="P28" s="188" cm="1">
        <f t="array" aca="1" ref="P28" ca="1">IF(RIGHT($A28,1)="G",-SUMIFS(IncExcl,IncDocDate,"&gt;="&amp;$P$2,IncDocDate,"&lt;="&amp;$P$3,IncAccount,LEFT($A28,5)&amp;"*")+SUMIFS(ExpExcl,ExpDocDate,"&gt;="&amp;$P$2,ExpDocDate,"&lt;="&amp;$P$3,ExpAccount,LEFT($A28,5)&amp;"*"),-SUMIFS(IncExcl,IncDocDate,"&gt;="&amp;$P$2,IncDocDate,"&lt;="&amp;$P$3,IncAccount,$A28)+SUMIFS(ExpExcl,ExpDocDate,"&gt;="&amp;$P$2,ExpDocDate,"&lt;="&amp;$P$3,ExpAccount,$A28))</f>
        <v>0</v>
      </c>
    </row>
    <row r="29" spans="1:16" ht="15.95" customHeight="1" x14ac:dyDescent="0.3">
      <c r="A29" s="277" t="s">
        <v>199</v>
      </c>
      <c r="B29" s="12" t="str">
        <f ca="1">IF(RIGHT($A29,1)="G",IF(ISNA(VLOOKUP(LEFT($A29,LEN($A29)-1),GroupAll,COLUMN(Groups!$B$4),0)),"Group Not Found",VLOOKUP(LEFT($A29,LEN($A29)-1),GroupAll,COLUMN(Groups!$B$4),0)),IF(ISNA(VLOOKUP($A29,AccountAll,COLUMN(TB!$B$4),0)),"Account Not Found",VLOOKUP($A29,AccountAll,COLUMN(TB!$B$4),0)))</f>
        <v>Travelling &amp; Accommodation</v>
      </c>
      <c r="C29" s="34" cm="1">
        <f t="array" aca="1" ref="C29" ca="1">IF(RIGHT($A29,1)="G",-SUMIFS(IncExcl,IncDocDate,"&gt;="&amp;DATE(YEAR(C$4),MONTH(C$4),1),IncDocDate,"&lt;="&amp;C$4,IncAccount,LEFT($A29,5)&amp;"*")+SUMIFS(ExpExcl,ExpDocDate,"&gt;="&amp;DATE(YEAR(C$4),MONTH(C$4),1),ExpDocDate,"&lt;="&amp;C$4,ExpAccount,LEFT($A29,5)&amp;"*"),-SUMIFS(IncExcl,IncDocDate,"&gt;="&amp;DATE(YEAR(C$4),MONTH(C$4),1),IncDocDate,"&lt;="&amp;C$4,IncAccount,$A29)+SUMIFS(ExpExcl,ExpDocDate,"&gt;="&amp;DATE(YEAR(C$4),MONTH(C$4),1),ExpDocDate,"&lt;="&amp;C$4,ExpAccount,$A29))</f>
        <v>0</v>
      </c>
      <c r="D29" s="34" cm="1">
        <f t="array" aca="1" ref="D29" ca="1">IF(RIGHT($A29,1)="G",-SUMIFS(IncExcl,IncDocDate,"&gt;="&amp;DATE(YEAR(D$4),MONTH(D$4),1),IncDocDate,"&lt;="&amp;D$4,IncAccount,LEFT($A29,5)&amp;"*")+SUMIFS(ExpExcl,ExpDocDate,"&gt;="&amp;DATE(YEAR(D$4),MONTH(D$4),1),ExpDocDate,"&lt;="&amp;D$4,ExpAccount,LEFT($A29,5)&amp;"*"),-SUMIFS(IncExcl,IncDocDate,"&gt;="&amp;DATE(YEAR(D$4),MONTH(D$4),1),IncDocDate,"&lt;="&amp;D$4,IncAccount,$A29)+SUMIFS(ExpExcl,ExpDocDate,"&gt;="&amp;DATE(YEAR(D$4),MONTH(D$4),1),ExpDocDate,"&lt;="&amp;D$4,ExpAccount,$A29))</f>
        <v>0</v>
      </c>
      <c r="E29" s="34" cm="1">
        <f t="array" aca="1" ref="E29" ca="1">IF(RIGHT($A29,1)="G",-SUMIFS(IncExcl,IncDocDate,"&gt;="&amp;DATE(YEAR(E$4),MONTH(E$4),1),IncDocDate,"&lt;="&amp;E$4,IncAccount,LEFT($A29,5)&amp;"*")+SUMIFS(ExpExcl,ExpDocDate,"&gt;="&amp;DATE(YEAR(E$4),MONTH(E$4),1),ExpDocDate,"&lt;="&amp;E$4,ExpAccount,LEFT($A29,5)&amp;"*"),-SUMIFS(IncExcl,IncDocDate,"&gt;="&amp;DATE(YEAR(E$4),MONTH(E$4),1),IncDocDate,"&lt;="&amp;E$4,IncAccount,$A29)+SUMIFS(ExpExcl,ExpDocDate,"&gt;="&amp;DATE(YEAR(E$4),MONTH(E$4),1),ExpDocDate,"&lt;="&amp;E$4,ExpAccount,$A29))</f>
        <v>0</v>
      </c>
      <c r="F29" s="34" cm="1">
        <f t="array" aca="1" ref="F29" ca="1">IF(RIGHT($A29,1)="G",-SUMIFS(IncExcl,IncDocDate,"&gt;="&amp;DATE(YEAR(F$4),MONTH(F$4),1),IncDocDate,"&lt;="&amp;F$4,IncAccount,LEFT($A29,5)&amp;"*")+SUMIFS(ExpExcl,ExpDocDate,"&gt;="&amp;DATE(YEAR(F$4),MONTH(F$4),1),ExpDocDate,"&lt;="&amp;F$4,ExpAccount,LEFT($A29,5)&amp;"*"),-SUMIFS(IncExcl,IncDocDate,"&gt;="&amp;DATE(YEAR(F$4),MONTH(F$4),1),IncDocDate,"&lt;="&amp;F$4,IncAccount,$A29)+SUMIFS(ExpExcl,ExpDocDate,"&gt;="&amp;DATE(YEAR(F$4),MONTH(F$4),1),ExpDocDate,"&lt;="&amp;F$4,ExpAccount,$A29))</f>
        <v>0</v>
      </c>
      <c r="G29" s="34" cm="1">
        <f t="array" aca="1" ref="G29" ca="1">IF(RIGHT($A29,1)="G",-SUMIFS(IncExcl,IncDocDate,"&gt;="&amp;DATE(YEAR(G$4),MONTH(G$4),1),IncDocDate,"&lt;="&amp;G$4,IncAccount,LEFT($A29,5)&amp;"*")+SUMIFS(ExpExcl,ExpDocDate,"&gt;="&amp;DATE(YEAR(G$4),MONTH(G$4),1),ExpDocDate,"&lt;="&amp;G$4,ExpAccount,LEFT($A29,5)&amp;"*"),-SUMIFS(IncExcl,IncDocDate,"&gt;="&amp;DATE(YEAR(G$4),MONTH(G$4),1),IncDocDate,"&lt;="&amp;G$4,IncAccount,$A29)+SUMIFS(ExpExcl,ExpDocDate,"&gt;="&amp;DATE(YEAR(G$4),MONTH(G$4),1),ExpDocDate,"&lt;="&amp;G$4,ExpAccount,$A29))</f>
        <v>0</v>
      </c>
      <c r="H29" s="34" cm="1">
        <f t="array" aca="1" ref="H29" ca="1">IF(RIGHT($A29,1)="G",-SUMIFS(IncExcl,IncDocDate,"&gt;="&amp;DATE(YEAR(H$4),MONTH(H$4),1),IncDocDate,"&lt;="&amp;H$4,IncAccount,LEFT($A29,5)&amp;"*")+SUMIFS(ExpExcl,ExpDocDate,"&gt;="&amp;DATE(YEAR(H$4),MONTH(H$4),1),ExpDocDate,"&lt;="&amp;H$4,ExpAccount,LEFT($A29,5)&amp;"*"),-SUMIFS(IncExcl,IncDocDate,"&gt;="&amp;DATE(YEAR(H$4),MONTH(H$4),1),IncDocDate,"&lt;="&amp;H$4,IncAccount,$A29)+SUMIFS(ExpExcl,ExpDocDate,"&gt;="&amp;DATE(YEAR(H$4),MONTH(H$4),1),ExpDocDate,"&lt;="&amp;H$4,ExpAccount,$A29))</f>
        <v>0</v>
      </c>
      <c r="I29" s="34" cm="1">
        <f t="array" aca="1" ref="I29" ca="1">IF(RIGHT($A29,1)="G",-SUMIFS(IncExcl,IncDocDate,"&gt;="&amp;DATE(YEAR(I$4),MONTH(I$4),1),IncDocDate,"&lt;="&amp;I$4,IncAccount,LEFT($A29,5)&amp;"*")+SUMIFS(ExpExcl,ExpDocDate,"&gt;="&amp;DATE(YEAR(I$4),MONTH(I$4),1),ExpDocDate,"&lt;="&amp;I$4,ExpAccount,LEFT($A29,5)&amp;"*"),-SUMIFS(IncExcl,IncDocDate,"&gt;="&amp;DATE(YEAR(I$4),MONTH(I$4),1),IncDocDate,"&lt;="&amp;I$4,IncAccount,$A29)+SUMIFS(ExpExcl,ExpDocDate,"&gt;="&amp;DATE(YEAR(I$4),MONTH(I$4),1),ExpDocDate,"&lt;="&amp;I$4,ExpAccount,$A29))</f>
        <v>0</v>
      </c>
      <c r="J29" s="34" cm="1">
        <f t="array" aca="1" ref="J29" ca="1">IF(RIGHT($A29,1)="G",-SUMIFS(IncExcl,IncDocDate,"&gt;="&amp;DATE(YEAR(J$4),MONTH(J$4),1),IncDocDate,"&lt;="&amp;J$4,IncAccount,LEFT($A29,5)&amp;"*")+SUMIFS(ExpExcl,ExpDocDate,"&gt;="&amp;DATE(YEAR(J$4),MONTH(J$4),1),ExpDocDate,"&lt;="&amp;J$4,ExpAccount,LEFT($A29,5)&amp;"*"),-SUMIFS(IncExcl,IncDocDate,"&gt;="&amp;DATE(YEAR(J$4),MONTH(J$4),1),IncDocDate,"&lt;="&amp;J$4,IncAccount,$A29)+SUMIFS(ExpExcl,ExpDocDate,"&gt;="&amp;DATE(YEAR(J$4),MONTH(J$4),1),ExpDocDate,"&lt;="&amp;J$4,ExpAccount,$A29))</f>
        <v>0</v>
      </c>
      <c r="K29" s="34" cm="1">
        <f t="array" aca="1" ref="K29" ca="1">IF(RIGHT($A29,1)="G",-SUMIFS(IncExcl,IncDocDate,"&gt;="&amp;DATE(YEAR(K$4),MONTH(K$4),1),IncDocDate,"&lt;="&amp;K$4,IncAccount,LEFT($A29,5)&amp;"*")+SUMIFS(ExpExcl,ExpDocDate,"&gt;="&amp;DATE(YEAR(K$4),MONTH(K$4),1),ExpDocDate,"&lt;="&amp;K$4,ExpAccount,LEFT($A29,5)&amp;"*"),-SUMIFS(IncExcl,IncDocDate,"&gt;="&amp;DATE(YEAR(K$4),MONTH(K$4),1),IncDocDate,"&lt;="&amp;K$4,IncAccount,$A29)+SUMIFS(ExpExcl,ExpDocDate,"&gt;="&amp;DATE(YEAR(K$4),MONTH(K$4),1),ExpDocDate,"&lt;="&amp;K$4,ExpAccount,$A29))</f>
        <v>0</v>
      </c>
      <c r="L29" s="34" cm="1">
        <f t="array" aca="1" ref="L29" ca="1">IF(RIGHT($A29,1)="G",-SUMIFS(IncExcl,IncDocDate,"&gt;="&amp;DATE(YEAR(L$4),MONTH(L$4),1),IncDocDate,"&lt;="&amp;L$4,IncAccount,LEFT($A29,5)&amp;"*")+SUMIFS(ExpExcl,ExpDocDate,"&gt;="&amp;DATE(YEAR(L$4),MONTH(L$4),1),ExpDocDate,"&lt;="&amp;L$4,ExpAccount,LEFT($A29,5)&amp;"*"),-SUMIFS(IncExcl,IncDocDate,"&gt;="&amp;DATE(YEAR(L$4),MONTH(L$4),1),IncDocDate,"&lt;="&amp;L$4,IncAccount,$A29)+SUMIFS(ExpExcl,ExpDocDate,"&gt;="&amp;DATE(YEAR(L$4),MONTH(L$4),1),ExpDocDate,"&lt;="&amp;L$4,ExpAccount,$A29))</f>
        <v>0</v>
      </c>
      <c r="M29" s="34" cm="1">
        <f t="array" aca="1" ref="M29" ca="1">IF(RIGHT($A29,1)="G",-SUMIFS(IncExcl,IncDocDate,"&gt;="&amp;DATE(YEAR(M$4),MONTH(M$4),1),IncDocDate,"&lt;="&amp;M$4,IncAccount,LEFT($A29,5)&amp;"*")+SUMIFS(ExpExcl,ExpDocDate,"&gt;="&amp;DATE(YEAR(M$4),MONTH(M$4),1),ExpDocDate,"&lt;="&amp;M$4,ExpAccount,LEFT($A29,5)&amp;"*"),-SUMIFS(IncExcl,IncDocDate,"&gt;="&amp;DATE(YEAR(M$4),MONTH(M$4),1),IncDocDate,"&lt;="&amp;M$4,IncAccount,$A29)+SUMIFS(ExpExcl,ExpDocDate,"&gt;="&amp;DATE(YEAR(M$4),MONTH(M$4),1),ExpDocDate,"&lt;="&amp;M$4,ExpAccount,$A29))</f>
        <v>0</v>
      </c>
      <c r="N29" s="34" cm="1">
        <f t="array" aca="1" ref="N29" ca="1">IF(RIGHT($A29,1)="G",-SUMIFS(IncExcl,IncDocDate,"&gt;="&amp;DATE(YEAR(N$4),MONTH(N$4),1),IncDocDate,"&lt;="&amp;N$4,IncAccount,LEFT($A29,5)&amp;"*")+SUMIFS(ExpExcl,ExpDocDate,"&gt;="&amp;DATE(YEAR(N$4),MONTH(N$4),1),ExpDocDate,"&lt;="&amp;N$4,ExpAccount,LEFT($A29,5)&amp;"*"),-SUMIFS(IncExcl,IncDocDate,"&gt;="&amp;DATE(YEAR(N$4),MONTH(N$4),1),IncDocDate,"&lt;="&amp;N$4,IncAccount,$A29)+SUMIFS(ExpExcl,ExpDocDate,"&gt;="&amp;DATE(YEAR(N$4),MONTH(N$4),1),ExpDocDate,"&lt;="&amp;N$4,ExpAccount,$A29))</f>
        <v>0</v>
      </c>
      <c r="O29" s="188">
        <f t="shared" ca="1" si="3"/>
        <v>0</v>
      </c>
      <c r="P29" s="188" cm="1">
        <f t="array" aca="1" ref="P29" ca="1">IF(RIGHT($A29,1)="G",-SUMIFS(IncExcl,IncDocDate,"&gt;="&amp;$P$2,IncDocDate,"&lt;="&amp;$P$3,IncAccount,LEFT($A29,5)&amp;"*")+SUMIFS(ExpExcl,ExpDocDate,"&gt;="&amp;$P$2,ExpDocDate,"&lt;="&amp;$P$3,ExpAccount,LEFT($A29,5)&amp;"*"),-SUMIFS(IncExcl,IncDocDate,"&gt;="&amp;$P$2,IncDocDate,"&lt;="&amp;$P$3,IncAccount,$A29)+SUMIFS(ExpExcl,ExpDocDate,"&gt;="&amp;$P$2,ExpDocDate,"&lt;="&amp;$P$3,ExpAccount,$A29))</f>
        <v>0</v>
      </c>
    </row>
    <row r="30" spans="1:16" ht="15.95" customHeight="1" x14ac:dyDescent="0.3">
      <c r="A30" s="277" t="s">
        <v>200</v>
      </c>
      <c r="B30" s="12" t="str">
        <f ca="1">IF(RIGHT($A30,1)="G",IF(ISNA(VLOOKUP(LEFT($A30,LEN($A30)-1),GroupAll,COLUMN(Groups!$B$4),0)),"Group Not Found",VLOOKUP(LEFT($A30,LEN($A30)-1),GroupAll,COLUMN(Groups!$B$4),0)),IF(ISNA(VLOOKUP($A30,AccountAll,COLUMN(TB!$B$4),0)),"Account Not Found",VLOOKUP($A30,AccountAll,COLUMN(TB!$B$4),0)))</f>
        <v>Utilities</v>
      </c>
      <c r="C30" s="34" cm="1">
        <f t="array" aca="1" ref="C30" ca="1">IF(RIGHT($A30,1)="G",-SUMIFS(IncExcl,IncDocDate,"&gt;="&amp;DATE(YEAR(C$4),MONTH(C$4),1),IncDocDate,"&lt;="&amp;C$4,IncAccount,LEFT($A30,5)&amp;"*")+SUMIFS(ExpExcl,ExpDocDate,"&gt;="&amp;DATE(YEAR(C$4),MONTH(C$4),1),ExpDocDate,"&lt;="&amp;C$4,ExpAccount,LEFT($A30,5)&amp;"*"),-SUMIFS(IncExcl,IncDocDate,"&gt;="&amp;DATE(YEAR(C$4),MONTH(C$4),1),IncDocDate,"&lt;="&amp;C$4,IncAccount,$A30)+SUMIFS(ExpExcl,ExpDocDate,"&gt;="&amp;DATE(YEAR(C$4),MONTH(C$4),1),ExpDocDate,"&lt;="&amp;C$4,ExpAccount,$A30))</f>
        <v>0</v>
      </c>
      <c r="D30" s="34" cm="1">
        <f t="array" aca="1" ref="D30" ca="1">IF(RIGHT($A30,1)="G",-SUMIFS(IncExcl,IncDocDate,"&gt;="&amp;DATE(YEAR(D$4),MONTH(D$4),1),IncDocDate,"&lt;="&amp;D$4,IncAccount,LEFT($A30,5)&amp;"*")+SUMIFS(ExpExcl,ExpDocDate,"&gt;="&amp;DATE(YEAR(D$4),MONTH(D$4),1),ExpDocDate,"&lt;="&amp;D$4,ExpAccount,LEFT($A30,5)&amp;"*"),-SUMIFS(IncExcl,IncDocDate,"&gt;="&amp;DATE(YEAR(D$4),MONTH(D$4),1),IncDocDate,"&lt;="&amp;D$4,IncAccount,$A30)+SUMIFS(ExpExcl,ExpDocDate,"&gt;="&amp;DATE(YEAR(D$4),MONTH(D$4),1),ExpDocDate,"&lt;="&amp;D$4,ExpAccount,$A30))</f>
        <v>0</v>
      </c>
      <c r="E30" s="34" cm="1">
        <f t="array" aca="1" ref="E30" ca="1">IF(RIGHT($A30,1)="G",-SUMIFS(IncExcl,IncDocDate,"&gt;="&amp;DATE(YEAR(E$4),MONTH(E$4),1),IncDocDate,"&lt;="&amp;E$4,IncAccount,LEFT($A30,5)&amp;"*")+SUMIFS(ExpExcl,ExpDocDate,"&gt;="&amp;DATE(YEAR(E$4),MONTH(E$4),1),ExpDocDate,"&lt;="&amp;E$4,ExpAccount,LEFT($A30,5)&amp;"*"),-SUMIFS(IncExcl,IncDocDate,"&gt;="&amp;DATE(YEAR(E$4),MONTH(E$4),1),IncDocDate,"&lt;="&amp;E$4,IncAccount,$A30)+SUMIFS(ExpExcl,ExpDocDate,"&gt;="&amp;DATE(YEAR(E$4),MONTH(E$4),1),ExpDocDate,"&lt;="&amp;E$4,ExpAccount,$A30))</f>
        <v>0</v>
      </c>
      <c r="F30" s="34" cm="1">
        <f t="array" aca="1" ref="F30" ca="1">IF(RIGHT($A30,1)="G",-SUMIFS(IncExcl,IncDocDate,"&gt;="&amp;DATE(YEAR(F$4),MONTH(F$4),1),IncDocDate,"&lt;="&amp;F$4,IncAccount,LEFT($A30,5)&amp;"*")+SUMIFS(ExpExcl,ExpDocDate,"&gt;="&amp;DATE(YEAR(F$4),MONTH(F$4),1),ExpDocDate,"&lt;="&amp;F$4,ExpAccount,LEFT($A30,5)&amp;"*"),-SUMIFS(IncExcl,IncDocDate,"&gt;="&amp;DATE(YEAR(F$4),MONTH(F$4),1),IncDocDate,"&lt;="&amp;F$4,IncAccount,$A30)+SUMIFS(ExpExcl,ExpDocDate,"&gt;="&amp;DATE(YEAR(F$4),MONTH(F$4),1),ExpDocDate,"&lt;="&amp;F$4,ExpAccount,$A30))</f>
        <v>0</v>
      </c>
      <c r="G30" s="34" cm="1">
        <f t="array" aca="1" ref="G30" ca="1">IF(RIGHT($A30,1)="G",-SUMIFS(IncExcl,IncDocDate,"&gt;="&amp;DATE(YEAR(G$4),MONTH(G$4),1),IncDocDate,"&lt;="&amp;G$4,IncAccount,LEFT($A30,5)&amp;"*")+SUMIFS(ExpExcl,ExpDocDate,"&gt;="&amp;DATE(YEAR(G$4),MONTH(G$4),1),ExpDocDate,"&lt;="&amp;G$4,ExpAccount,LEFT($A30,5)&amp;"*"),-SUMIFS(IncExcl,IncDocDate,"&gt;="&amp;DATE(YEAR(G$4),MONTH(G$4),1),IncDocDate,"&lt;="&amp;G$4,IncAccount,$A30)+SUMIFS(ExpExcl,ExpDocDate,"&gt;="&amp;DATE(YEAR(G$4),MONTH(G$4),1),ExpDocDate,"&lt;="&amp;G$4,ExpAccount,$A30))</f>
        <v>0</v>
      </c>
      <c r="H30" s="34" cm="1">
        <f t="array" aca="1" ref="H30" ca="1">IF(RIGHT($A30,1)="G",-SUMIFS(IncExcl,IncDocDate,"&gt;="&amp;DATE(YEAR(H$4),MONTH(H$4),1),IncDocDate,"&lt;="&amp;H$4,IncAccount,LEFT($A30,5)&amp;"*")+SUMIFS(ExpExcl,ExpDocDate,"&gt;="&amp;DATE(YEAR(H$4),MONTH(H$4),1),ExpDocDate,"&lt;="&amp;H$4,ExpAccount,LEFT($A30,5)&amp;"*"),-SUMIFS(IncExcl,IncDocDate,"&gt;="&amp;DATE(YEAR(H$4),MONTH(H$4),1),IncDocDate,"&lt;="&amp;H$4,IncAccount,$A30)+SUMIFS(ExpExcl,ExpDocDate,"&gt;="&amp;DATE(YEAR(H$4),MONTH(H$4),1),ExpDocDate,"&lt;="&amp;H$4,ExpAccount,$A30))</f>
        <v>0</v>
      </c>
      <c r="I30" s="34" cm="1">
        <f t="array" aca="1" ref="I30" ca="1">IF(RIGHT($A30,1)="G",-SUMIFS(IncExcl,IncDocDate,"&gt;="&amp;DATE(YEAR(I$4),MONTH(I$4),1),IncDocDate,"&lt;="&amp;I$4,IncAccount,LEFT($A30,5)&amp;"*")+SUMIFS(ExpExcl,ExpDocDate,"&gt;="&amp;DATE(YEAR(I$4),MONTH(I$4),1),ExpDocDate,"&lt;="&amp;I$4,ExpAccount,LEFT($A30,5)&amp;"*"),-SUMIFS(IncExcl,IncDocDate,"&gt;="&amp;DATE(YEAR(I$4),MONTH(I$4),1),IncDocDate,"&lt;="&amp;I$4,IncAccount,$A30)+SUMIFS(ExpExcl,ExpDocDate,"&gt;="&amp;DATE(YEAR(I$4),MONTH(I$4),1),ExpDocDate,"&lt;="&amp;I$4,ExpAccount,$A30))</f>
        <v>0</v>
      </c>
      <c r="J30" s="34" cm="1">
        <f t="array" aca="1" ref="J30" ca="1">IF(RIGHT($A30,1)="G",-SUMIFS(IncExcl,IncDocDate,"&gt;="&amp;DATE(YEAR(J$4),MONTH(J$4),1),IncDocDate,"&lt;="&amp;J$4,IncAccount,LEFT($A30,5)&amp;"*")+SUMIFS(ExpExcl,ExpDocDate,"&gt;="&amp;DATE(YEAR(J$4),MONTH(J$4),1),ExpDocDate,"&lt;="&amp;J$4,ExpAccount,LEFT($A30,5)&amp;"*"),-SUMIFS(IncExcl,IncDocDate,"&gt;="&amp;DATE(YEAR(J$4),MONTH(J$4),1),IncDocDate,"&lt;="&amp;J$4,IncAccount,$A30)+SUMIFS(ExpExcl,ExpDocDate,"&gt;="&amp;DATE(YEAR(J$4),MONTH(J$4),1),ExpDocDate,"&lt;="&amp;J$4,ExpAccount,$A30))</f>
        <v>0</v>
      </c>
      <c r="K30" s="34" cm="1">
        <f t="array" aca="1" ref="K30" ca="1">IF(RIGHT($A30,1)="G",-SUMIFS(IncExcl,IncDocDate,"&gt;="&amp;DATE(YEAR(K$4),MONTH(K$4),1),IncDocDate,"&lt;="&amp;K$4,IncAccount,LEFT($A30,5)&amp;"*")+SUMIFS(ExpExcl,ExpDocDate,"&gt;="&amp;DATE(YEAR(K$4),MONTH(K$4),1),ExpDocDate,"&lt;="&amp;K$4,ExpAccount,LEFT($A30,5)&amp;"*"),-SUMIFS(IncExcl,IncDocDate,"&gt;="&amp;DATE(YEAR(K$4),MONTH(K$4),1),IncDocDate,"&lt;="&amp;K$4,IncAccount,$A30)+SUMIFS(ExpExcl,ExpDocDate,"&gt;="&amp;DATE(YEAR(K$4),MONTH(K$4),1),ExpDocDate,"&lt;="&amp;K$4,ExpAccount,$A30))</f>
        <v>0</v>
      </c>
      <c r="L30" s="34" cm="1">
        <f t="array" aca="1" ref="L30" ca="1">IF(RIGHT($A30,1)="G",-SUMIFS(IncExcl,IncDocDate,"&gt;="&amp;DATE(YEAR(L$4),MONTH(L$4),1),IncDocDate,"&lt;="&amp;L$4,IncAccount,LEFT($A30,5)&amp;"*")+SUMIFS(ExpExcl,ExpDocDate,"&gt;="&amp;DATE(YEAR(L$4),MONTH(L$4),1),ExpDocDate,"&lt;="&amp;L$4,ExpAccount,LEFT($A30,5)&amp;"*"),-SUMIFS(IncExcl,IncDocDate,"&gt;="&amp;DATE(YEAR(L$4),MONTH(L$4),1),IncDocDate,"&lt;="&amp;L$4,IncAccount,$A30)+SUMIFS(ExpExcl,ExpDocDate,"&gt;="&amp;DATE(YEAR(L$4),MONTH(L$4),1),ExpDocDate,"&lt;="&amp;L$4,ExpAccount,$A30))</f>
        <v>0</v>
      </c>
      <c r="M30" s="34" cm="1">
        <f t="array" aca="1" ref="M30" ca="1">IF(RIGHT($A30,1)="G",-SUMIFS(IncExcl,IncDocDate,"&gt;="&amp;DATE(YEAR(M$4),MONTH(M$4),1),IncDocDate,"&lt;="&amp;M$4,IncAccount,LEFT($A30,5)&amp;"*")+SUMIFS(ExpExcl,ExpDocDate,"&gt;="&amp;DATE(YEAR(M$4),MONTH(M$4),1),ExpDocDate,"&lt;="&amp;M$4,ExpAccount,LEFT($A30,5)&amp;"*"),-SUMIFS(IncExcl,IncDocDate,"&gt;="&amp;DATE(YEAR(M$4),MONTH(M$4),1),IncDocDate,"&lt;="&amp;M$4,IncAccount,$A30)+SUMIFS(ExpExcl,ExpDocDate,"&gt;="&amp;DATE(YEAR(M$4),MONTH(M$4),1),ExpDocDate,"&lt;="&amp;M$4,ExpAccount,$A30))</f>
        <v>0</v>
      </c>
      <c r="N30" s="34" cm="1">
        <f t="array" aca="1" ref="N30" ca="1">IF(RIGHT($A30,1)="G",-SUMIFS(IncExcl,IncDocDate,"&gt;="&amp;DATE(YEAR(N$4),MONTH(N$4),1),IncDocDate,"&lt;="&amp;N$4,IncAccount,LEFT($A30,5)&amp;"*")+SUMIFS(ExpExcl,ExpDocDate,"&gt;="&amp;DATE(YEAR(N$4),MONTH(N$4),1),ExpDocDate,"&lt;="&amp;N$4,ExpAccount,LEFT($A30,5)&amp;"*"),-SUMIFS(IncExcl,IncDocDate,"&gt;="&amp;DATE(YEAR(N$4),MONTH(N$4),1),IncDocDate,"&lt;="&amp;N$4,IncAccount,$A30)+SUMIFS(ExpExcl,ExpDocDate,"&gt;="&amp;DATE(YEAR(N$4),MONTH(N$4),1),ExpDocDate,"&lt;="&amp;N$4,ExpAccount,$A30))</f>
        <v>0</v>
      </c>
      <c r="O30" s="188">
        <f t="shared" ca="1" si="3"/>
        <v>0</v>
      </c>
      <c r="P30" s="188" cm="1">
        <f t="array" aca="1" ref="P30" ca="1">IF(RIGHT($A30,1)="G",-SUMIFS(IncExcl,IncDocDate,"&gt;="&amp;$P$2,IncDocDate,"&lt;="&amp;$P$3,IncAccount,LEFT($A30,5)&amp;"*")+SUMIFS(ExpExcl,ExpDocDate,"&gt;="&amp;$P$2,ExpDocDate,"&lt;="&amp;$P$3,ExpAccount,LEFT($A30,5)&amp;"*"),-SUMIFS(IncExcl,IncDocDate,"&gt;="&amp;$P$2,IncDocDate,"&lt;="&amp;$P$3,IncAccount,$A30)+SUMIFS(ExpExcl,ExpDocDate,"&gt;="&amp;$P$2,ExpDocDate,"&lt;="&amp;$P$3,ExpAccount,$A30))</f>
        <v>0</v>
      </c>
    </row>
    <row r="31" spans="1:16" s="3" customFormat="1" ht="15.95" customHeight="1" thickBot="1" x14ac:dyDescent="0.35">
      <c r="A31" s="277"/>
      <c r="B31" s="3" t="s">
        <v>262</v>
      </c>
      <c r="C31" s="133">
        <f ca="1">SUM(OFFSET(C12,1,0,ROW($B31)-ROW($B12)-1,1))</f>
        <v>730138.40677966108</v>
      </c>
      <c r="D31" s="133">
        <f t="shared" ref="D31:P31" ca="1" si="4">SUM(OFFSET(D12,1,0,ROW($B31)-ROW($B12)-1,1))</f>
        <v>0</v>
      </c>
      <c r="E31" s="133">
        <f t="shared" ca="1" si="4"/>
        <v>0</v>
      </c>
      <c r="F31" s="133">
        <f t="shared" ca="1" si="4"/>
        <v>0</v>
      </c>
      <c r="G31" s="133">
        <f t="shared" ca="1" si="4"/>
        <v>0</v>
      </c>
      <c r="H31" s="133">
        <f t="shared" ca="1" si="4"/>
        <v>0</v>
      </c>
      <c r="I31" s="133">
        <f t="shared" ca="1" si="4"/>
        <v>0</v>
      </c>
      <c r="J31" s="133">
        <f t="shared" ca="1" si="4"/>
        <v>0</v>
      </c>
      <c r="K31" s="133">
        <f t="shared" ca="1" si="4"/>
        <v>0</v>
      </c>
      <c r="L31" s="133">
        <f t="shared" ca="1" si="4"/>
        <v>0</v>
      </c>
      <c r="M31" s="133">
        <f t="shared" ca="1" si="4"/>
        <v>0</v>
      </c>
      <c r="N31" s="133">
        <f t="shared" ca="1" si="4"/>
        <v>0</v>
      </c>
      <c r="O31" s="133">
        <f t="shared" ca="1" si="4"/>
        <v>730138.40677966108</v>
      </c>
      <c r="P31" s="133">
        <f t="shared" ca="1" si="4"/>
        <v>0</v>
      </c>
    </row>
    <row r="32" spans="1:16" s="3" customFormat="1" ht="15.95" customHeight="1" x14ac:dyDescent="0.3">
      <c r="A32" s="277"/>
      <c r="B32" s="3" t="s">
        <v>231</v>
      </c>
      <c r="C32" s="176"/>
      <c r="D32" s="176"/>
      <c r="E32" s="176"/>
      <c r="F32" s="176"/>
      <c r="G32" s="176"/>
      <c r="H32" s="176"/>
      <c r="I32" s="176"/>
      <c r="J32" s="176"/>
      <c r="K32" s="176"/>
      <c r="L32" s="176"/>
      <c r="M32" s="176"/>
      <c r="N32" s="176"/>
      <c r="O32" s="176"/>
      <c r="P32" s="176"/>
    </row>
    <row r="33" spans="1:16" ht="15.95" customHeight="1" x14ac:dyDescent="0.3">
      <c r="A33" s="277" t="s">
        <v>258</v>
      </c>
      <c r="B33" s="12" t="str">
        <f ca="1">IF(RIGHT($A33,1)="G",IF(ISNA(VLOOKUP(LEFT($A33,LEN($A33)-1),GroupAll,COLUMN(Groups!$B$4),0)),"Group Not Found",VLOOKUP(LEFT($A33,LEN($A33)-1),GroupAll,COLUMN(Groups!$B$4),0)),IF(ISNA(VLOOKUP($A33,AccountAll,COLUMN(TB!$B$4),0)),"Account Not Found",VLOOKUP($A33,AccountAll,COLUMN(TB!$B$4),0)))</f>
        <v>Salaries &amp; Wages - Staff</v>
      </c>
      <c r="C33" s="189" cm="1">
        <f t="array" aca="1" ref="C33" ca="1">IF(RIGHT($A33,1)="G",-SUMIFS(IncExcl,IncDocDate,"&gt;="&amp;DATE(YEAR(C$4),MONTH(C$4),1),IncDocDate,"&lt;="&amp;C$4,IncAccount,LEFT($A33,5)&amp;"*")+SUMIFS(ExpExcl,ExpDocDate,"&gt;="&amp;DATE(YEAR(C$4),MONTH(C$4),1),ExpDocDate,"&lt;="&amp;C$4,ExpAccount,LEFT($A33,5)&amp;"*"),-SUMIFS(IncExcl,IncDocDate,"&gt;="&amp;DATE(YEAR(C$4),MONTH(C$4),1),IncDocDate,"&lt;="&amp;C$4,IncAccount,$A33)+SUMIFS(ExpExcl,ExpDocDate,"&gt;="&amp;DATE(YEAR(C$4),MONTH(C$4),1),ExpDocDate,"&lt;="&amp;C$4,ExpAccount,$A33))</f>
        <v>262764.55</v>
      </c>
      <c r="D33" s="189" cm="1">
        <f t="array" aca="1" ref="D33" ca="1">IF(RIGHT($A33,1)="G",-SUMIFS(IncExcl,IncDocDate,"&gt;="&amp;DATE(YEAR(D$4),MONTH(D$4),1),IncDocDate,"&lt;="&amp;D$4,IncAccount,LEFT($A33,5)&amp;"*")+SUMIFS(ExpExcl,ExpDocDate,"&gt;="&amp;DATE(YEAR(D$4),MONTH(D$4),1),ExpDocDate,"&lt;="&amp;D$4,ExpAccount,LEFT($A33,5)&amp;"*"),-SUMIFS(IncExcl,IncDocDate,"&gt;="&amp;DATE(YEAR(D$4),MONTH(D$4),1),IncDocDate,"&lt;="&amp;D$4,IncAccount,$A33)+SUMIFS(ExpExcl,ExpDocDate,"&gt;="&amp;DATE(YEAR(D$4),MONTH(D$4),1),ExpDocDate,"&lt;="&amp;D$4,ExpAccount,$A33))</f>
        <v>0</v>
      </c>
      <c r="E33" s="189" cm="1">
        <f t="array" aca="1" ref="E33" ca="1">IF(RIGHT($A33,1)="G",-SUMIFS(IncExcl,IncDocDate,"&gt;="&amp;DATE(YEAR(E$4),MONTH(E$4),1),IncDocDate,"&lt;="&amp;E$4,IncAccount,LEFT($A33,5)&amp;"*")+SUMIFS(ExpExcl,ExpDocDate,"&gt;="&amp;DATE(YEAR(E$4),MONTH(E$4),1),ExpDocDate,"&lt;="&amp;E$4,ExpAccount,LEFT($A33,5)&amp;"*"),-SUMIFS(IncExcl,IncDocDate,"&gt;="&amp;DATE(YEAR(E$4),MONTH(E$4),1),IncDocDate,"&lt;="&amp;E$4,IncAccount,$A33)+SUMIFS(ExpExcl,ExpDocDate,"&gt;="&amp;DATE(YEAR(E$4),MONTH(E$4),1),ExpDocDate,"&lt;="&amp;E$4,ExpAccount,$A33))</f>
        <v>0</v>
      </c>
      <c r="F33" s="189" cm="1">
        <f t="array" aca="1" ref="F33" ca="1">IF(RIGHT($A33,1)="G",-SUMIFS(IncExcl,IncDocDate,"&gt;="&amp;DATE(YEAR(F$4),MONTH(F$4),1),IncDocDate,"&lt;="&amp;F$4,IncAccount,LEFT($A33,5)&amp;"*")+SUMIFS(ExpExcl,ExpDocDate,"&gt;="&amp;DATE(YEAR(F$4),MONTH(F$4),1),ExpDocDate,"&lt;="&amp;F$4,ExpAccount,LEFT($A33,5)&amp;"*"),-SUMIFS(IncExcl,IncDocDate,"&gt;="&amp;DATE(YEAR(F$4),MONTH(F$4),1),IncDocDate,"&lt;="&amp;F$4,IncAccount,$A33)+SUMIFS(ExpExcl,ExpDocDate,"&gt;="&amp;DATE(YEAR(F$4),MONTH(F$4),1),ExpDocDate,"&lt;="&amp;F$4,ExpAccount,$A33))</f>
        <v>0</v>
      </c>
      <c r="G33" s="189" cm="1">
        <f t="array" aca="1" ref="G33" ca="1">IF(RIGHT($A33,1)="G",-SUMIFS(IncExcl,IncDocDate,"&gt;="&amp;DATE(YEAR(G$4),MONTH(G$4),1),IncDocDate,"&lt;="&amp;G$4,IncAccount,LEFT($A33,5)&amp;"*")+SUMIFS(ExpExcl,ExpDocDate,"&gt;="&amp;DATE(YEAR(G$4),MONTH(G$4),1),ExpDocDate,"&lt;="&amp;G$4,ExpAccount,LEFT($A33,5)&amp;"*"),-SUMIFS(IncExcl,IncDocDate,"&gt;="&amp;DATE(YEAR(G$4),MONTH(G$4),1),IncDocDate,"&lt;="&amp;G$4,IncAccount,$A33)+SUMIFS(ExpExcl,ExpDocDate,"&gt;="&amp;DATE(YEAR(G$4),MONTH(G$4),1),ExpDocDate,"&lt;="&amp;G$4,ExpAccount,$A33))</f>
        <v>0</v>
      </c>
      <c r="H33" s="189" cm="1">
        <f t="array" aca="1" ref="H33" ca="1">IF(RIGHT($A33,1)="G",-SUMIFS(IncExcl,IncDocDate,"&gt;="&amp;DATE(YEAR(H$4),MONTH(H$4),1),IncDocDate,"&lt;="&amp;H$4,IncAccount,LEFT($A33,5)&amp;"*")+SUMIFS(ExpExcl,ExpDocDate,"&gt;="&amp;DATE(YEAR(H$4),MONTH(H$4),1),ExpDocDate,"&lt;="&amp;H$4,ExpAccount,LEFT($A33,5)&amp;"*"),-SUMIFS(IncExcl,IncDocDate,"&gt;="&amp;DATE(YEAR(H$4),MONTH(H$4),1),IncDocDate,"&lt;="&amp;H$4,IncAccount,$A33)+SUMIFS(ExpExcl,ExpDocDate,"&gt;="&amp;DATE(YEAR(H$4),MONTH(H$4),1),ExpDocDate,"&lt;="&amp;H$4,ExpAccount,$A33))</f>
        <v>0</v>
      </c>
      <c r="I33" s="189" cm="1">
        <f t="array" aca="1" ref="I33" ca="1">IF(RIGHT($A33,1)="G",-SUMIFS(IncExcl,IncDocDate,"&gt;="&amp;DATE(YEAR(I$4),MONTH(I$4),1),IncDocDate,"&lt;="&amp;I$4,IncAccount,LEFT($A33,5)&amp;"*")+SUMIFS(ExpExcl,ExpDocDate,"&gt;="&amp;DATE(YEAR(I$4),MONTH(I$4),1),ExpDocDate,"&lt;="&amp;I$4,ExpAccount,LEFT($A33,5)&amp;"*"),-SUMIFS(IncExcl,IncDocDate,"&gt;="&amp;DATE(YEAR(I$4),MONTH(I$4),1),IncDocDate,"&lt;="&amp;I$4,IncAccount,$A33)+SUMIFS(ExpExcl,ExpDocDate,"&gt;="&amp;DATE(YEAR(I$4),MONTH(I$4),1),ExpDocDate,"&lt;="&amp;I$4,ExpAccount,$A33))</f>
        <v>0</v>
      </c>
      <c r="J33" s="189" cm="1">
        <f t="array" aca="1" ref="J33" ca="1">IF(RIGHT($A33,1)="G",-SUMIFS(IncExcl,IncDocDate,"&gt;="&amp;DATE(YEAR(J$4),MONTH(J$4),1),IncDocDate,"&lt;="&amp;J$4,IncAccount,LEFT($A33,5)&amp;"*")+SUMIFS(ExpExcl,ExpDocDate,"&gt;="&amp;DATE(YEAR(J$4),MONTH(J$4),1),ExpDocDate,"&lt;="&amp;J$4,ExpAccount,LEFT($A33,5)&amp;"*"),-SUMIFS(IncExcl,IncDocDate,"&gt;="&amp;DATE(YEAR(J$4),MONTH(J$4),1),IncDocDate,"&lt;="&amp;J$4,IncAccount,$A33)+SUMIFS(ExpExcl,ExpDocDate,"&gt;="&amp;DATE(YEAR(J$4),MONTH(J$4),1),ExpDocDate,"&lt;="&amp;J$4,ExpAccount,$A33))</f>
        <v>0</v>
      </c>
      <c r="K33" s="189" cm="1">
        <f t="array" aca="1" ref="K33" ca="1">IF(RIGHT($A33,1)="G",-SUMIFS(IncExcl,IncDocDate,"&gt;="&amp;DATE(YEAR(K$4),MONTH(K$4),1),IncDocDate,"&lt;="&amp;K$4,IncAccount,LEFT($A33,5)&amp;"*")+SUMIFS(ExpExcl,ExpDocDate,"&gt;="&amp;DATE(YEAR(K$4),MONTH(K$4),1),ExpDocDate,"&lt;="&amp;K$4,ExpAccount,LEFT($A33,5)&amp;"*"),-SUMIFS(IncExcl,IncDocDate,"&gt;="&amp;DATE(YEAR(K$4),MONTH(K$4),1),IncDocDate,"&lt;="&amp;K$4,IncAccount,$A33)+SUMIFS(ExpExcl,ExpDocDate,"&gt;="&amp;DATE(YEAR(K$4),MONTH(K$4),1),ExpDocDate,"&lt;="&amp;K$4,ExpAccount,$A33))</f>
        <v>0</v>
      </c>
      <c r="L33" s="189" cm="1">
        <f t="array" aca="1" ref="L33" ca="1">IF(RIGHT($A33,1)="G",-SUMIFS(IncExcl,IncDocDate,"&gt;="&amp;DATE(YEAR(L$4),MONTH(L$4),1),IncDocDate,"&lt;="&amp;L$4,IncAccount,LEFT($A33,5)&amp;"*")+SUMIFS(ExpExcl,ExpDocDate,"&gt;="&amp;DATE(YEAR(L$4),MONTH(L$4),1),ExpDocDate,"&lt;="&amp;L$4,ExpAccount,LEFT($A33,5)&amp;"*"),-SUMIFS(IncExcl,IncDocDate,"&gt;="&amp;DATE(YEAR(L$4),MONTH(L$4),1),IncDocDate,"&lt;="&amp;L$4,IncAccount,$A33)+SUMIFS(ExpExcl,ExpDocDate,"&gt;="&amp;DATE(YEAR(L$4),MONTH(L$4),1),ExpDocDate,"&lt;="&amp;L$4,ExpAccount,$A33))</f>
        <v>0</v>
      </c>
      <c r="M33" s="189" cm="1">
        <f t="array" aca="1" ref="M33" ca="1">IF(RIGHT($A33,1)="G",-SUMIFS(IncExcl,IncDocDate,"&gt;="&amp;DATE(YEAR(M$4),MONTH(M$4),1),IncDocDate,"&lt;="&amp;M$4,IncAccount,LEFT($A33,5)&amp;"*")+SUMIFS(ExpExcl,ExpDocDate,"&gt;="&amp;DATE(YEAR(M$4),MONTH(M$4),1),ExpDocDate,"&lt;="&amp;M$4,ExpAccount,LEFT($A33,5)&amp;"*"),-SUMIFS(IncExcl,IncDocDate,"&gt;="&amp;DATE(YEAR(M$4),MONTH(M$4),1),IncDocDate,"&lt;="&amp;M$4,IncAccount,$A33)+SUMIFS(ExpExcl,ExpDocDate,"&gt;="&amp;DATE(YEAR(M$4),MONTH(M$4),1),ExpDocDate,"&lt;="&amp;M$4,ExpAccount,$A33))</f>
        <v>0</v>
      </c>
      <c r="N33" s="189" cm="1">
        <f t="array" aca="1" ref="N33" ca="1">IF(RIGHT($A33,1)="G",-SUMIFS(IncExcl,IncDocDate,"&gt;="&amp;DATE(YEAR(N$4),MONTH(N$4),1),IncDocDate,"&lt;="&amp;N$4,IncAccount,LEFT($A33,5)&amp;"*")+SUMIFS(ExpExcl,ExpDocDate,"&gt;="&amp;DATE(YEAR(N$4),MONTH(N$4),1),ExpDocDate,"&lt;="&amp;N$4,ExpAccount,LEFT($A33,5)&amp;"*"),-SUMIFS(IncExcl,IncDocDate,"&gt;="&amp;DATE(YEAR(N$4),MONTH(N$4),1),IncDocDate,"&lt;="&amp;N$4,IncAccount,$A33)+SUMIFS(ExpExcl,ExpDocDate,"&gt;="&amp;DATE(YEAR(N$4),MONTH(N$4),1),ExpDocDate,"&lt;="&amp;N$4,ExpAccount,$A33))</f>
        <v>0</v>
      </c>
      <c r="O33" s="176">
        <f t="shared" ref="O33:O34" ca="1" si="5">SUM(C33:N33)</f>
        <v>262764.55</v>
      </c>
      <c r="P33" s="176" cm="1">
        <f t="array" aca="1" ref="P33" ca="1">IF(RIGHT($A33,1)="G",-SUMIFS(IncExcl,IncDocDate,"&gt;="&amp;$P$2,IncDocDate,"&lt;="&amp;$P$3,IncAccount,LEFT($A33,5)&amp;"*")+SUMIFS(ExpExcl,ExpDocDate,"&gt;="&amp;$P$2,ExpDocDate,"&lt;="&amp;$P$3,ExpAccount,LEFT($A33,5)&amp;"*"),-SUMIFS(IncExcl,IncDocDate,"&gt;="&amp;$P$2,IncDocDate,"&lt;="&amp;$P$3,IncAccount,$A33)+SUMIFS(ExpExcl,ExpDocDate,"&gt;="&amp;$P$2,ExpDocDate,"&lt;="&amp;$P$3,ExpAccount,$A33))</f>
        <v>0</v>
      </c>
    </row>
    <row r="34" spans="1:16" ht="15.95" customHeight="1" x14ac:dyDescent="0.3">
      <c r="A34" s="277" t="s">
        <v>260</v>
      </c>
      <c r="B34" s="12" t="str">
        <f ca="1">IF(RIGHT($A34,1)="G",IF(ISNA(VLOOKUP(LEFT($A34,LEN($A34)-1),GroupAll,COLUMN(Groups!$B$4),0)),"Group Not Found",VLOOKUP(LEFT($A34,LEN($A34)-1),GroupAll,COLUMN(Groups!$B$4),0)),IF(ISNA(VLOOKUP($A34,AccountAll,COLUMN(TB!$B$4),0)),"Account Not Found",VLOOKUP($A34,AccountAll,COLUMN(TB!$B$4),0)))</f>
        <v>Salaries &amp; Wages - Management</v>
      </c>
      <c r="C34" s="189" cm="1">
        <f t="array" aca="1" ref="C34" ca="1">IF(RIGHT($A34,1)="G",-SUMIFS(IncExcl,IncDocDate,"&gt;="&amp;DATE(YEAR(C$4),MONTH(C$4),1),IncDocDate,"&lt;="&amp;C$4,IncAccount,LEFT($A34,5)&amp;"*")+SUMIFS(ExpExcl,ExpDocDate,"&gt;="&amp;DATE(YEAR(C$4),MONTH(C$4),1),ExpDocDate,"&lt;="&amp;C$4,ExpAccount,LEFT($A34,5)&amp;"*"),-SUMIFS(IncExcl,IncDocDate,"&gt;="&amp;DATE(YEAR(C$4),MONTH(C$4),1),IncDocDate,"&lt;="&amp;C$4,IncAccount,$A34)+SUMIFS(ExpExcl,ExpDocDate,"&gt;="&amp;DATE(YEAR(C$4),MONTH(C$4),1),ExpDocDate,"&lt;="&amp;C$4,ExpAccount,$A34))</f>
        <v>0</v>
      </c>
      <c r="D34" s="189" cm="1">
        <f t="array" aca="1" ref="D34" ca="1">IF(RIGHT($A34,1)="G",-SUMIFS(IncExcl,IncDocDate,"&gt;="&amp;DATE(YEAR(D$4),MONTH(D$4),1),IncDocDate,"&lt;="&amp;D$4,IncAccount,LEFT($A34,5)&amp;"*")+SUMIFS(ExpExcl,ExpDocDate,"&gt;="&amp;DATE(YEAR(D$4),MONTH(D$4),1),ExpDocDate,"&lt;="&amp;D$4,ExpAccount,LEFT($A34,5)&amp;"*"),-SUMIFS(IncExcl,IncDocDate,"&gt;="&amp;DATE(YEAR(D$4),MONTH(D$4),1),IncDocDate,"&lt;="&amp;D$4,IncAccount,$A34)+SUMIFS(ExpExcl,ExpDocDate,"&gt;="&amp;DATE(YEAR(D$4),MONTH(D$4),1),ExpDocDate,"&lt;="&amp;D$4,ExpAccount,$A34))</f>
        <v>0</v>
      </c>
      <c r="E34" s="189" cm="1">
        <f t="array" aca="1" ref="E34" ca="1">IF(RIGHT($A34,1)="G",-SUMIFS(IncExcl,IncDocDate,"&gt;="&amp;DATE(YEAR(E$4),MONTH(E$4),1),IncDocDate,"&lt;="&amp;E$4,IncAccount,LEFT($A34,5)&amp;"*")+SUMIFS(ExpExcl,ExpDocDate,"&gt;="&amp;DATE(YEAR(E$4),MONTH(E$4),1),ExpDocDate,"&lt;="&amp;E$4,ExpAccount,LEFT($A34,5)&amp;"*"),-SUMIFS(IncExcl,IncDocDate,"&gt;="&amp;DATE(YEAR(E$4),MONTH(E$4),1),IncDocDate,"&lt;="&amp;E$4,IncAccount,$A34)+SUMIFS(ExpExcl,ExpDocDate,"&gt;="&amp;DATE(YEAR(E$4),MONTH(E$4),1),ExpDocDate,"&lt;="&amp;E$4,ExpAccount,$A34))</f>
        <v>0</v>
      </c>
      <c r="F34" s="189" cm="1">
        <f t="array" aca="1" ref="F34" ca="1">IF(RIGHT($A34,1)="G",-SUMIFS(IncExcl,IncDocDate,"&gt;="&amp;DATE(YEAR(F$4),MONTH(F$4),1),IncDocDate,"&lt;="&amp;F$4,IncAccount,LEFT($A34,5)&amp;"*")+SUMIFS(ExpExcl,ExpDocDate,"&gt;="&amp;DATE(YEAR(F$4),MONTH(F$4),1),ExpDocDate,"&lt;="&amp;F$4,ExpAccount,LEFT($A34,5)&amp;"*"),-SUMIFS(IncExcl,IncDocDate,"&gt;="&amp;DATE(YEAR(F$4),MONTH(F$4),1),IncDocDate,"&lt;="&amp;F$4,IncAccount,$A34)+SUMIFS(ExpExcl,ExpDocDate,"&gt;="&amp;DATE(YEAR(F$4),MONTH(F$4),1),ExpDocDate,"&lt;="&amp;F$4,ExpAccount,$A34))</f>
        <v>0</v>
      </c>
      <c r="G34" s="189" cm="1">
        <f t="array" aca="1" ref="G34" ca="1">IF(RIGHT($A34,1)="G",-SUMIFS(IncExcl,IncDocDate,"&gt;="&amp;DATE(YEAR(G$4),MONTH(G$4),1),IncDocDate,"&lt;="&amp;G$4,IncAccount,LEFT($A34,5)&amp;"*")+SUMIFS(ExpExcl,ExpDocDate,"&gt;="&amp;DATE(YEAR(G$4),MONTH(G$4),1),ExpDocDate,"&lt;="&amp;G$4,ExpAccount,LEFT($A34,5)&amp;"*"),-SUMIFS(IncExcl,IncDocDate,"&gt;="&amp;DATE(YEAR(G$4),MONTH(G$4),1),IncDocDate,"&lt;="&amp;G$4,IncAccount,$A34)+SUMIFS(ExpExcl,ExpDocDate,"&gt;="&amp;DATE(YEAR(G$4),MONTH(G$4),1),ExpDocDate,"&lt;="&amp;G$4,ExpAccount,$A34))</f>
        <v>0</v>
      </c>
      <c r="H34" s="189" cm="1">
        <f t="array" aca="1" ref="H34" ca="1">IF(RIGHT($A34,1)="G",-SUMIFS(IncExcl,IncDocDate,"&gt;="&amp;DATE(YEAR(H$4),MONTH(H$4),1),IncDocDate,"&lt;="&amp;H$4,IncAccount,LEFT($A34,5)&amp;"*")+SUMIFS(ExpExcl,ExpDocDate,"&gt;="&amp;DATE(YEAR(H$4),MONTH(H$4),1),ExpDocDate,"&lt;="&amp;H$4,ExpAccount,LEFT($A34,5)&amp;"*"),-SUMIFS(IncExcl,IncDocDate,"&gt;="&amp;DATE(YEAR(H$4),MONTH(H$4),1),IncDocDate,"&lt;="&amp;H$4,IncAccount,$A34)+SUMIFS(ExpExcl,ExpDocDate,"&gt;="&amp;DATE(YEAR(H$4),MONTH(H$4),1),ExpDocDate,"&lt;="&amp;H$4,ExpAccount,$A34))</f>
        <v>0</v>
      </c>
      <c r="I34" s="189" cm="1">
        <f t="array" aca="1" ref="I34" ca="1">IF(RIGHT($A34,1)="G",-SUMIFS(IncExcl,IncDocDate,"&gt;="&amp;DATE(YEAR(I$4),MONTH(I$4),1),IncDocDate,"&lt;="&amp;I$4,IncAccount,LEFT($A34,5)&amp;"*")+SUMIFS(ExpExcl,ExpDocDate,"&gt;="&amp;DATE(YEAR(I$4),MONTH(I$4),1),ExpDocDate,"&lt;="&amp;I$4,ExpAccount,LEFT($A34,5)&amp;"*"),-SUMIFS(IncExcl,IncDocDate,"&gt;="&amp;DATE(YEAR(I$4),MONTH(I$4),1),IncDocDate,"&lt;="&amp;I$4,IncAccount,$A34)+SUMIFS(ExpExcl,ExpDocDate,"&gt;="&amp;DATE(YEAR(I$4),MONTH(I$4),1),ExpDocDate,"&lt;="&amp;I$4,ExpAccount,$A34))</f>
        <v>0</v>
      </c>
      <c r="J34" s="189" cm="1">
        <f t="array" aca="1" ref="J34" ca="1">IF(RIGHT($A34,1)="G",-SUMIFS(IncExcl,IncDocDate,"&gt;="&amp;DATE(YEAR(J$4),MONTH(J$4),1),IncDocDate,"&lt;="&amp;J$4,IncAccount,LEFT($A34,5)&amp;"*")+SUMIFS(ExpExcl,ExpDocDate,"&gt;="&amp;DATE(YEAR(J$4),MONTH(J$4),1),ExpDocDate,"&lt;="&amp;J$4,ExpAccount,LEFT($A34,5)&amp;"*"),-SUMIFS(IncExcl,IncDocDate,"&gt;="&amp;DATE(YEAR(J$4),MONTH(J$4),1),IncDocDate,"&lt;="&amp;J$4,IncAccount,$A34)+SUMIFS(ExpExcl,ExpDocDate,"&gt;="&amp;DATE(YEAR(J$4),MONTH(J$4),1),ExpDocDate,"&lt;="&amp;J$4,ExpAccount,$A34))</f>
        <v>0</v>
      </c>
      <c r="K34" s="189" cm="1">
        <f t="array" aca="1" ref="K34" ca="1">IF(RIGHT($A34,1)="G",-SUMIFS(IncExcl,IncDocDate,"&gt;="&amp;DATE(YEAR(K$4),MONTH(K$4),1),IncDocDate,"&lt;="&amp;K$4,IncAccount,LEFT($A34,5)&amp;"*")+SUMIFS(ExpExcl,ExpDocDate,"&gt;="&amp;DATE(YEAR(K$4),MONTH(K$4),1),ExpDocDate,"&lt;="&amp;K$4,ExpAccount,LEFT($A34,5)&amp;"*"),-SUMIFS(IncExcl,IncDocDate,"&gt;="&amp;DATE(YEAR(K$4),MONTH(K$4),1),IncDocDate,"&lt;="&amp;K$4,IncAccount,$A34)+SUMIFS(ExpExcl,ExpDocDate,"&gt;="&amp;DATE(YEAR(K$4),MONTH(K$4),1),ExpDocDate,"&lt;="&amp;K$4,ExpAccount,$A34))</f>
        <v>0</v>
      </c>
      <c r="L34" s="189" cm="1">
        <f t="array" aca="1" ref="L34" ca="1">IF(RIGHT($A34,1)="G",-SUMIFS(IncExcl,IncDocDate,"&gt;="&amp;DATE(YEAR(L$4),MONTH(L$4),1),IncDocDate,"&lt;="&amp;L$4,IncAccount,LEFT($A34,5)&amp;"*")+SUMIFS(ExpExcl,ExpDocDate,"&gt;="&amp;DATE(YEAR(L$4),MONTH(L$4),1),ExpDocDate,"&lt;="&amp;L$4,ExpAccount,LEFT($A34,5)&amp;"*"),-SUMIFS(IncExcl,IncDocDate,"&gt;="&amp;DATE(YEAR(L$4),MONTH(L$4),1),IncDocDate,"&lt;="&amp;L$4,IncAccount,$A34)+SUMIFS(ExpExcl,ExpDocDate,"&gt;="&amp;DATE(YEAR(L$4),MONTH(L$4),1),ExpDocDate,"&lt;="&amp;L$4,ExpAccount,$A34))</f>
        <v>0</v>
      </c>
      <c r="M34" s="189" cm="1">
        <f t="array" aca="1" ref="M34" ca="1">IF(RIGHT($A34,1)="G",-SUMIFS(IncExcl,IncDocDate,"&gt;="&amp;DATE(YEAR(M$4),MONTH(M$4),1),IncDocDate,"&lt;="&amp;M$4,IncAccount,LEFT($A34,5)&amp;"*")+SUMIFS(ExpExcl,ExpDocDate,"&gt;="&amp;DATE(YEAR(M$4),MONTH(M$4),1),ExpDocDate,"&lt;="&amp;M$4,ExpAccount,LEFT($A34,5)&amp;"*"),-SUMIFS(IncExcl,IncDocDate,"&gt;="&amp;DATE(YEAR(M$4),MONTH(M$4),1),IncDocDate,"&lt;="&amp;M$4,IncAccount,$A34)+SUMIFS(ExpExcl,ExpDocDate,"&gt;="&amp;DATE(YEAR(M$4),MONTH(M$4),1),ExpDocDate,"&lt;="&amp;M$4,ExpAccount,$A34))</f>
        <v>0</v>
      </c>
      <c r="N34" s="189" cm="1">
        <f t="array" aca="1" ref="N34" ca="1">IF(RIGHT($A34,1)="G",-SUMIFS(IncExcl,IncDocDate,"&gt;="&amp;DATE(YEAR(N$4),MONTH(N$4),1),IncDocDate,"&lt;="&amp;N$4,IncAccount,LEFT($A34,5)&amp;"*")+SUMIFS(ExpExcl,ExpDocDate,"&gt;="&amp;DATE(YEAR(N$4),MONTH(N$4),1),ExpDocDate,"&lt;="&amp;N$4,ExpAccount,LEFT($A34,5)&amp;"*"),-SUMIFS(IncExcl,IncDocDate,"&gt;="&amp;DATE(YEAR(N$4),MONTH(N$4),1),IncDocDate,"&lt;="&amp;N$4,IncAccount,$A34)+SUMIFS(ExpExcl,ExpDocDate,"&gt;="&amp;DATE(YEAR(N$4),MONTH(N$4),1),ExpDocDate,"&lt;="&amp;N$4,ExpAccount,$A34))</f>
        <v>0</v>
      </c>
      <c r="O34" s="176">
        <f t="shared" ca="1" si="5"/>
        <v>0</v>
      </c>
      <c r="P34" s="176" cm="1">
        <f t="array" aca="1" ref="P34" ca="1">IF(RIGHT($A34,1)="G",-SUMIFS(IncExcl,IncDocDate,"&gt;="&amp;$P$2,IncDocDate,"&lt;="&amp;$P$3,IncAccount,LEFT($A34,5)&amp;"*")+SUMIFS(ExpExcl,ExpDocDate,"&gt;="&amp;$P$2,ExpDocDate,"&lt;="&amp;$P$3,ExpAccount,LEFT($A34,5)&amp;"*"),-SUMIFS(IncExcl,IncDocDate,"&gt;="&amp;$P$2,IncDocDate,"&lt;="&amp;$P$3,IncAccount,$A34)+SUMIFS(ExpExcl,ExpDocDate,"&gt;="&amp;$P$2,ExpDocDate,"&lt;="&amp;$P$3,ExpAccount,$A34))</f>
        <v>0</v>
      </c>
    </row>
    <row r="35" spans="1:16" s="3" customFormat="1" ht="15.95" customHeight="1" thickBot="1" x14ac:dyDescent="0.3">
      <c r="A35" s="278"/>
      <c r="B35" s="3" t="s">
        <v>263</v>
      </c>
      <c r="C35" s="133">
        <f ca="1">SUM(OFFSET(C32,1,0,ROW($B35)-ROW($B32)-1,1))</f>
        <v>262764.55</v>
      </c>
      <c r="D35" s="133">
        <f t="shared" ref="D35:P35" ca="1" si="6">SUM(OFFSET(D32,1,0,ROW($B35)-ROW($B32)-1,1))</f>
        <v>0</v>
      </c>
      <c r="E35" s="133">
        <f t="shared" ca="1" si="6"/>
        <v>0</v>
      </c>
      <c r="F35" s="133">
        <f t="shared" ca="1" si="6"/>
        <v>0</v>
      </c>
      <c r="G35" s="133">
        <f t="shared" ca="1" si="6"/>
        <v>0</v>
      </c>
      <c r="H35" s="133">
        <f t="shared" ca="1" si="6"/>
        <v>0</v>
      </c>
      <c r="I35" s="133">
        <f t="shared" ca="1" si="6"/>
        <v>0</v>
      </c>
      <c r="J35" s="133">
        <f t="shared" ca="1" si="6"/>
        <v>0</v>
      </c>
      <c r="K35" s="133">
        <f t="shared" ca="1" si="6"/>
        <v>0</v>
      </c>
      <c r="L35" s="133">
        <f t="shared" ca="1" si="6"/>
        <v>0</v>
      </c>
      <c r="M35" s="133">
        <f t="shared" ca="1" si="6"/>
        <v>0</v>
      </c>
      <c r="N35" s="133">
        <f t="shared" ca="1" si="6"/>
        <v>0</v>
      </c>
      <c r="O35" s="133">
        <f t="shared" ca="1" si="6"/>
        <v>262764.55</v>
      </c>
      <c r="P35" s="133">
        <f t="shared" ca="1" si="6"/>
        <v>0</v>
      </c>
    </row>
    <row r="36" spans="1:16" ht="15.95" customHeight="1" x14ac:dyDescent="0.3">
      <c r="A36" s="277" t="s">
        <v>272</v>
      </c>
      <c r="B36" s="12" t="str">
        <f ca="1">IF(RIGHT($A36,1)="G",IF(ISNA(VLOOKUP(LEFT($A36,LEN($A36)-1),GroupAll,COLUMN(Groups!$B$4),0)),"Group Not Found",VLOOKUP(LEFT($A36,LEN($A36)-1),GroupAll,COLUMN(Groups!$B$4),0)),IF(ISNA(VLOOKUP($A36,AccountAll,COLUMN(TB!$B$4),0)),"Account Not Found",VLOOKUP($A36,AccountAll,COLUMN(TB!$B$4),0)))</f>
        <v>Other Expenses</v>
      </c>
      <c r="C36" s="189" cm="1">
        <f t="array" aca="1" ref="C36" ca="1">IF(RIGHT($A36,1)="G",-SUMIFS(IncExcl,IncDocDate,"&gt;="&amp;DATE(YEAR(C$4),MONTH(C$4),1),IncDocDate,"&lt;="&amp;C$4,IncAccount,LEFT($A36,5)&amp;"*")+SUMIFS(ExpExcl,ExpDocDate,"&gt;="&amp;DATE(YEAR(C$4),MONTH(C$4),1),ExpDocDate,"&lt;="&amp;C$4,ExpAccount,LEFT($A36,5)&amp;"*"),-SUMIFS(IncExcl,IncDocDate,"&gt;="&amp;DATE(YEAR(C$4),MONTH(C$4),1),IncDocDate,"&lt;="&amp;C$4,IncAccount,$A36)+SUMIFS(ExpExcl,ExpDocDate,"&gt;="&amp;DATE(YEAR(C$4),MONTH(C$4),1),ExpDocDate,"&lt;="&amp;C$4,ExpAccount,$A36))</f>
        <v>3400000</v>
      </c>
      <c r="D36" s="189" cm="1">
        <f t="array" aca="1" ref="D36" ca="1">IF(RIGHT($A36,1)="G",-SUMIFS(IncExcl,IncDocDate,"&gt;="&amp;DATE(YEAR(D$4),MONTH(D$4),1),IncDocDate,"&lt;="&amp;D$4,IncAccount,LEFT($A36,5)&amp;"*")+SUMIFS(ExpExcl,ExpDocDate,"&gt;="&amp;DATE(YEAR(D$4),MONTH(D$4),1),ExpDocDate,"&lt;="&amp;D$4,ExpAccount,LEFT($A36,5)&amp;"*"),-SUMIFS(IncExcl,IncDocDate,"&gt;="&amp;DATE(YEAR(D$4),MONTH(D$4),1),IncDocDate,"&lt;="&amp;D$4,IncAccount,$A36)+SUMIFS(ExpExcl,ExpDocDate,"&gt;="&amp;DATE(YEAR(D$4),MONTH(D$4),1),ExpDocDate,"&lt;="&amp;D$4,ExpAccount,$A36))</f>
        <v>0</v>
      </c>
      <c r="E36" s="189" cm="1">
        <f t="array" aca="1" ref="E36" ca="1">IF(RIGHT($A36,1)="G",-SUMIFS(IncExcl,IncDocDate,"&gt;="&amp;DATE(YEAR(E$4),MONTH(E$4),1),IncDocDate,"&lt;="&amp;E$4,IncAccount,LEFT($A36,5)&amp;"*")+SUMIFS(ExpExcl,ExpDocDate,"&gt;="&amp;DATE(YEAR(E$4),MONTH(E$4),1),ExpDocDate,"&lt;="&amp;E$4,ExpAccount,LEFT($A36,5)&amp;"*"),-SUMIFS(IncExcl,IncDocDate,"&gt;="&amp;DATE(YEAR(E$4),MONTH(E$4),1),IncDocDate,"&lt;="&amp;E$4,IncAccount,$A36)+SUMIFS(ExpExcl,ExpDocDate,"&gt;="&amp;DATE(YEAR(E$4),MONTH(E$4),1),ExpDocDate,"&lt;="&amp;E$4,ExpAccount,$A36))</f>
        <v>0</v>
      </c>
      <c r="F36" s="189" cm="1">
        <f t="array" aca="1" ref="F36" ca="1">IF(RIGHT($A36,1)="G",-SUMIFS(IncExcl,IncDocDate,"&gt;="&amp;DATE(YEAR(F$4),MONTH(F$4),1),IncDocDate,"&lt;="&amp;F$4,IncAccount,LEFT($A36,5)&amp;"*")+SUMIFS(ExpExcl,ExpDocDate,"&gt;="&amp;DATE(YEAR(F$4),MONTH(F$4),1),ExpDocDate,"&lt;="&amp;F$4,ExpAccount,LEFT($A36,5)&amp;"*"),-SUMIFS(IncExcl,IncDocDate,"&gt;="&amp;DATE(YEAR(F$4),MONTH(F$4),1),IncDocDate,"&lt;="&amp;F$4,IncAccount,$A36)+SUMIFS(ExpExcl,ExpDocDate,"&gt;="&amp;DATE(YEAR(F$4),MONTH(F$4),1),ExpDocDate,"&lt;="&amp;F$4,ExpAccount,$A36))</f>
        <v>0</v>
      </c>
      <c r="G36" s="189" cm="1">
        <f t="array" aca="1" ref="G36" ca="1">IF(RIGHT($A36,1)="G",-SUMIFS(IncExcl,IncDocDate,"&gt;="&amp;DATE(YEAR(G$4),MONTH(G$4),1),IncDocDate,"&lt;="&amp;G$4,IncAccount,LEFT($A36,5)&amp;"*")+SUMIFS(ExpExcl,ExpDocDate,"&gt;="&amp;DATE(YEAR(G$4),MONTH(G$4),1),ExpDocDate,"&lt;="&amp;G$4,ExpAccount,LEFT($A36,5)&amp;"*"),-SUMIFS(IncExcl,IncDocDate,"&gt;="&amp;DATE(YEAR(G$4),MONTH(G$4),1),IncDocDate,"&lt;="&amp;G$4,IncAccount,$A36)+SUMIFS(ExpExcl,ExpDocDate,"&gt;="&amp;DATE(YEAR(G$4),MONTH(G$4),1),ExpDocDate,"&lt;="&amp;G$4,ExpAccount,$A36))</f>
        <v>0</v>
      </c>
      <c r="H36" s="189" cm="1">
        <f t="array" aca="1" ref="H36" ca="1">IF(RIGHT($A36,1)="G",-SUMIFS(IncExcl,IncDocDate,"&gt;="&amp;DATE(YEAR(H$4),MONTH(H$4),1),IncDocDate,"&lt;="&amp;H$4,IncAccount,LEFT($A36,5)&amp;"*")+SUMIFS(ExpExcl,ExpDocDate,"&gt;="&amp;DATE(YEAR(H$4),MONTH(H$4),1),ExpDocDate,"&lt;="&amp;H$4,ExpAccount,LEFT($A36,5)&amp;"*"),-SUMIFS(IncExcl,IncDocDate,"&gt;="&amp;DATE(YEAR(H$4),MONTH(H$4),1),IncDocDate,"&lt;="&amp;H$4,IncAccount,$A36)+SUMIFS(ExpExcl,ExpDocDate,"&gt;="&amp;DATE(YEAR(H$4),MONTH(H$4),1),ExpDocDate,"&lt;="&amp;H$4,ExpAccount,$A36))</f>
        <v>0</v>
      </c>
      <c r="I36" s="189" cm="1">
        <f t="array" aca="1" ref="I36" ca="1">IF(RIGHT($A36,1)="G",-SUMIFS(IncExcl,IncDocDate,"&gt;="&amp;DATE(YEAR(I$4),MONTH(I$4),1),IncDocDate,"&lt;="&amp;I$4,IncAccount,LEFT($A36,5)&amp;"*")+SUMIFS(ExpExcl,ExpDocDate,"&gt;="&amp;DATE(YEAR(I$4),MONTH(I$4),1),ExpDocDate,"&lt;="&amp;I$4,ExpAccount,LEFT($A36,5)&amp;"*"),-SUMIFS(IncExcl,IncDocDate,"&gt;="&amp;DATE(YEAR(I$4),MONTH(I$4),1),IncDocDate,"&lt;="&amp;I$4,IncAccount,$A36)+SUMIFS(ExpExcl,ExpDocDate,"&gt;="&amp;DATE(YEAR(I$4),MONTH(I$4),1),ExpDocDate,"&lt;="&amp;I$4,ExpAccount,$A36))</f>
        <v>0</v>
      </c>
      <c r="J36" s="189" cm="1">
        <f t="array" aca="1" ref="J36" ca="1">IF(RIGHT($A36,1)="G",-SUMIFS(IncExcl,IncDocDate,"&gt;="&amp;DATE(YEAR(J$4),MONTH(J$4),1),IncDocDate,"&lt;="&amp;J$4,IncAccount,LEFT($A36,5)&amp;"*")+SUMIFS(ExpExcl,ExpDocDate,"&gt;="&amp;DATE(YEAR(J$4),MONTH(J$4),1),ExpDocDate,"&lt;="&amp;J$4,ExpAccount,LEFT($A36,5)&amp;"*"),-SUMIFS(IncExcl,IncDocDate,"&gt;="&amp;DATE(YEAR(J$4),MONTH(J$4),1),IncDocDate,"&lt;="&amp;J$4,IncAccount,$A36)+SUMIFS(ExpExcl,ExpDocDate,"&gt;="&amp;DATE(YEAR(J$4),MONTH(J$4),1),ExpDocDate,"&lt;="&amp;J$4,ExpAccount,$A36))</f>
        <v>0</v>
      </c>
      <c r="K36" s="189" cm="1">
        <f t="array" aca="1" ref="K36" ca="1">IF(RIGHT($A36,1)="G",-SUMIFS(IncExcl,IncDocDate,"&gt;="&amp;DATE(YEAR(K$4),MONTH(K$4),1),IncDocDate,"&lt;="&amp;K$4,IncAccount,LEFT($A36,5)&amp;"*")+SUMIFS(ExpExcl,ExpDocDate,"&gt;="&amp;DATE(YEAR(K$4),MONTH(K$4),1),ExpDocDate,"&lt;="&amp;K$4,ExpAccount,LEFT($A36,5)&amp;"*"),-SUMIFS(IncExcl,IncDocDate,"&gt;="&amp;DATE(YEAR(K$4),MONTH(K$4),1),IncDocDate,"&lt;="&amp;K$4,IncAccount,$A36)+SUMIFS(ExpExcl,ExpDocDate,"&gt;="&amp;DATE(YEAR(K$4),MONTH(K$4),1),ExpDocDate,"&lt;="&amp;K$4,ExpAccount,$A36))</f>
        <v>0</v>
      </c>
      <c r="L36" s="189" cm="1">
        <f t="array" aca="1" ref="L36" ca="1">IF(RIGHT($A36,1)="G",-SUMIFS(IncExcl,IncDocDate,"&gt;="&amp;DATE(YEAR(L$4),MONTH(L$4),1),IncDocDate,"&lt;="&amp;L$4,IncAccount,LEFT($A36,5)&amp;"*")+SUMIFS(ExpExcl,ExpDocDate,"&gt;="&amp;DATE(YEAR(L$4),MONTH(L$4),1),ExpDocDate,"&lt;="&amp;L$4,ExpAccount,LEFT($A36,5)&amp;"*"),-SUMIFS(IncExcl,IncDocDate,"&gt;="&amp;DATE(YEAR(L$4),MONTH(L$4),1),IncDocDate,"&lt;="&amp;L$4,IncAccount,$A36)+SUMIFS(ExpExcl,ExpDocDate,"&gt;="&amp;DATE(YEAR(L$4),MONTH(L$4),1),ExpDocDate,"&lt;="&amp;L$4,ExpAccount,$A36))</f>
        <v>0</v>
      </c>
      <c r="M36" s="189" cm="1">
        <f t="array" aca="1" ref="M36" ca="1">IF(RIGHT($A36,1)="G",-SUMIFS(IncExcl,IncDocDate,"&gt;="&amp;DATE(YEAR(M$4),MONTH(M$4),1),IncDocDate,"&lt;="&amp;M$4,IncAccount,LEFT($A36,5)&amp;"*")+SUMIFS(ExpExcl,ExpDocDate,"&gt;="&amp;DATE(YEAR(M$4),MONTH(M$4),1),ExpDocDate,"&lt;="&amp;M$4,ExpAccount,LEFT($A36,5)&amp;"*"),-SUMIFS(IncExcl,IncDocDate,"&gt;="&amp;DATE(YEAR(M$4),MONTH(M$4),1),IncDocDate,"&lt;="&amp;M$4,IncAccount,$A36)+SUMIFS(ExpExcl,ExpDocDate,"&gt;="&amp;DATE(YEAR(M$4),MONTH(M$4),1),ExpDocDate,"&lt;="&amp;M$4,ExpAccount,$A36))</f>
        <v>0</v>
      </c>
      <c r="N36" s="189" cm="1">
        <f t="array" aca="1" ref="N36" ca="1">IF(RIGHT($A36,1)="G",-SUMIFS(IncExcl,IncDocDate,"&gt;="&amp;DATE(YEAR(N$4),MONTH(N$4),1),IncDocDate,"&lt;="&amp;N$4,IncAccount,LEFT($A36,5)&amp;"*")+SUMIFS(ExpExcl,ExpDocDate,"&gt;="&amp;DATE(YEAR(N$4),MONTH(N$4),1),ExpDocDate,"&lt;="&amp;N$4,ExpAccount,LEFT($A36,5)&amp;"*"),-SUMIFS(IncExcl,IncDocDate,"&gt;="&amp;DATE(YEAR(N$4),MONTH(N$4),1),IncDocDate,"&lt;="&amp;N$4,IncAccount,$A36)+SUMIFS(ExpExcl,ExpDocDate,"&gt;="&amp;DATE(YEAR(N$4),MONTH(N$4),1),ExpDocDate,"&lt;="&amp;N$4,ExpAccount,$A36))</f>
        <v>0</v>
      </c>
      <c r="O36" s="176">
        <f ca="1">SUM(C36:N36)</f>
        <v>3400000</v>
      </c>
      <c r="P36" s="176" cm="1">
        <f t="array" aca="1" ref="P36" ca="1">IF(RIGHT($A36,1)="G",-SUMIFS(IncExcl,IncDocDate,"&gt;="&amp;$P$2,IncDocDate,"&lt;="&amp;$P$3,IncAccount,LEFT($A36,5)&amp;"*")+SUMIFS(ExpExcl,ExpDocDate,"&gt;="&amp;$P$2,ExpDocDate,"&lt;="&amp;$P$3,ExpAccount,LEFT($A36,5)&amp;"*"),-SUMIFS(IncExcl,IncDocDate,"&gt;="&amp;$P$2,IncDocDate,"&lt;="&amp;$P$3,IncAccount,$A36)+SUMIFS(ExpExcl,ExpDocDate,"&gt;="&amp;$P$2,ExpDocDate,"&lt;="&amp;$P$3,ExpAccount,$A36))</f>
        <v>0</v>
      </c>
    </row>
    <row r="37" spans="1:16" s="3" customFormat="1" ht="15.95" customHeight="1" x14ac:dyDescent="0.25">
      <c r="A37" s="278"/>
      <c r="B37" s="3" t="s">
        <v>232</v>
      </c>
      <c r="C37" s="188"/>
      <c r="D37" s="188"/>
      <c r="E37" s="188"/>
      <c r="F37" s="188"/>
      <c r="G37" s="188"/>
      <c r="H37" s="188"/>
    </row>
    <row r="38" spans="1:16" ht="15.95" customHeight="1" x14ac:dyDescent="0.3">
      <c r="A38" s="277" t="s">
        <v>201</v>
      </c>
      <c r="B38" s="12" t="str">
        <f ca="1">IF(RIGHT($A38,1)="G",IF(ISNA(VLOOKUP(LEFT($A38,LEN($A38)-1),GroupAll,COLUMN(Groups!$B$4),0)),"Group Not Found",VLOOKUP(LEFT($A38,LEN($A38)-1),GroupAll,COLUMN(Groups!$B$4),0)),IF(ISNA(VLOOKUP($A38,AccountAll,COLUMN(TB!$B$4),0)),"Account Not Found",VLOOKUP($A38,AccountAll,COLUMN(TB!$B$4),0)))</f>
        <v>Depreciation</v>
      </c>
      <c r="C38" s="189" cm="1">
        <f t="array" aca="1" ref="C38" ca="1">IF(RIGHT($A38,1)="G",-SUMIFS(IncExcl,IncDocDate,"&gt;="&amp;DATE(YEAR(C$4),MONTH(C$4),1),IncDocDate,"&lt;="&amp;C$4,IncAccount,LEFT($A38,5)&amp;"*")+SUMIFS(ExpExcl,ExpDocDate,"&gt;="&amp;DATE(YEAR(C$4),MONTH(C$4),1),ExpDocDate,"&lt;="&amp;C$4,ExpAccount,LEFT($A38,5)&amp;"*"),-SUMIFS(IncExcl,IncDocDate,"&gt;="&amp;DATE(YEAR(C$4),MONTH(C$4),1),IncDocDate,"&lt;="&amp;C$4,IncAccount,$A38)+SUMIFS(ExpExcl,ExpDocDate,"&gt;="&amp;DATE(YEAR(C$4),MONTH(C$4),1),ExpDocDate,"&lt;="&amp;C$4,ExpAccount,$A38))</f>
        <v>0</v>
      </c>
      <c r="D38" s="189" cm="1">
        <f t="array" aca="1" ref="D38" ca="1">IF(RIGHT($A38,1)="G",-SUMIFS(IncExcl,IncDocDate,"&gt;="&amp;DATE(YEAR(D$4),MONTH(D$4),1),IncDocDate,"&lt;="&amp;D$4,IncAccount,LEFT($A38,5)&amp;"*")+SUMIFS(ExpExcl,ExpDocDate,"&gt;="&amp;DATE(YEAR(D$4),MONTH(D$4),1),ExpDocDate,"&lt;="&amp;D$4,ExpAccount,LEFT($A38,5)&amp;"*"),-SUMIFS(IncExcl,IncDocDate,"&gt;="&amp;DATE(YEAR(D$4),MONTH(D$4),1),IncDocDate,"&lt;="&amp;D$4,IncAccount,$A38)+SUMIFS(ExpExcl,ExpDocDate,"&gt;="&amp;DATE(YEAR(D$4),MONTH(D$4),1),ExpDocDate,"&lt;="&amp;D$4,ExpAccount,$A38))</f>
        <v>0</v>
      </c>
      <c r="E38" s="189" cm="1">
        <f t="array" aca="1" ref="E38" ca="1">IF(RIGHT($A38,1)="G",-SUMIFS(IncExcl,IncDocDate,"&gt;="&amp;DATE(YEAR(E$4),MONTH(E$4),1),IncDocDate,"&lt;="&amp;E$4,IncAccount,LEFT($A38,5)&amp;"*")+SUMIFS(ExpExcl,ExpDocDate,"&gt;="&amp;DATE(YEAR(E$4),MONTH(E$4),1),ExpDocDate,"&lt;="&amp;E$4,ExpAccount,LEFT($A38,5)&amp;"*"),-SUMIFS(IncExcl,IncDocDate,"&gt;="&amp;DATE(YEAR(E$4),MONTH(E$4),1),IncDocDate,"&lt;="&amp;E$4,IncAccount,$A38)+SUMIFS(ExpExcl,ExpDocDate,"&gt;="&amp;DATE(YEAR(E$4),MONTH(E$4),1),ExpDocDate,"&lt;="&amp;E$4,ExpAccount,$A38))</f>
        <v>0</v>
      </c>
      <c r="F38" s="189" cm="1">
        <f t="array" aca="1" ref="F38" ca="1">IF(RIGHT($A38,1)="G",-SUMIFS(IncExcl,IncDocDate,"&gt;="&amp;DATE(YEAR(F$4),MONTH(F$4),1),IncDocDate,"&lt;="&amp;F$4,IncAccount,LEFT($A38,5)&amp;"*")+SUMIFS(ExpExcl,ExpDocDate,"&gt;="&amp;DATE(YEAR(F$4),MONTH(F$4),1),ExpDocDate,"&lt;="&amp;F$4,ExpAccount,LEFT($A38,5)&amp;"*"),-SUMIFS(IncExcl,IncDocDate,"&gt;="&amp;DATE(YEAR(F$4),MONTH(F$4),1),IncDocDate,"&lt;="&amp;F$4,IncAccount,$A38)+SUMIFS(ExpExcl,ExpDocDate,"&gt;="&amp;DATE(YEAR(F$4),MONTH(F$4),1),ExpDocDate,"&lt;="&amp;F$4,ExpAccount,$A38))</f>
        <v>0</v>
      </c>
      <c r="G38" s="189" cm="1">
        <f t="array" aca="1" ref="G38" ca="1">IF(RIGHT($A38,1)="G",-SUMIFS(IncExcl,IncDocDate,"&gt;="&amp;DATE(YEAR(G$4),MONTH(G$4),1),IncDocDate,"&lt;="&amp;G$4,IncAccount,LEFT($A38,5)&amp;"*")+SUMIFS(ExpExcl,ExpDocDate,"&gt;="&amp;DATE(YEAR(G$4),MONTH(G$4),1),ExpDocDate,"&lt;="&amp;G$4,ExpAccount,LEFT($A38,5)&amp;"*"),-SUMIFS(IncExcl,IncDocDate,"&gt;="&amp;DATE(YEAR(G$4),MONTH(G$4),1),IncDocDate,"&lt;="&amp;G$4,IncAccount,$A38)+SUMIFS(ExpExcl,ExpDocDate,"&gt;="&amp;DATE(YEAR(G$4),MONTH(G$4),1),ExpDocDate,"&lt;="&amp;G$4,ExpAccount,$A38))</f>
        <v>0</v>
      </c>
      <c r="H38" s="189" cm="1">
        <f t="array" aca="1" ref="H38" ca="1">IF(RIGHT($A38,1)="G",-SUMIFS(IncExcl,IncDocDate,"&gt;="&amp;DATE(YEAR(H$4),MONTH(H$4),1),IncDocDate,"&lt;="&amp;H$4,IncAccount,LEFT($A38,5)&amp;"*")+SUMIFS(ExpExcl,ExpDocDate,"&gt;="&amp;DATE(YEAR(H$4),MONTH(H$4),1),ExpDocDate,"&lt;="&amp;H$4,ExpAccount,LEFT($A38,5)&amp;"*"),-SUMIFS(IncExcl,IncDocDate,"&gt;="&amp;DATE(YEAR(H$4),MONTH(H$4),1),IncDocDate,"&lt;="&amp;H$4,IncAccount,$A38)+SUMIFS(ExpExcl,ExpDocDate,"&gt;="&amp;DATE(YEAR(H$4),MONTH(H$4),1),ExpDocDate,"&lt;="&amp;H$4,ExpAccount,$A38))</f>
        <v>0</v>
      </c>
      <c r="I38" s="189" cm="1">
        <f t="array" aca="1" ref="I38" ca="1">IF(RIGHT($A38,1)="G",-SUMIFS(IncExcl,IncDocDate,"&gt;="&amp;DATE(YEAR(I$4),MONTH(I$4),1),IncDocDate,"&lt;="&amp;I$4,IncAccount,LEFT($A38,5)&amp;"*")+SUMIFS(ExpExcl,ExpDocDate,"&gt;="&amp;DATE(YEAR(I$4),MONTH(I$4),1),ExpDocDate,"&lt;="&amp;I$4,ExpAccount,LEFT($A38,5)&amp;"*"),-SUMIFS(IncExcl,IncDocDate,"&gt;="&amp;DATE(YEAR(I$4),MONTH(I$4),1),IncDocDate,"&lt;="&amp;I$4,IncAccount,$A38)+SUMIFS(ExpExcl,ExpDocDate,"&gt;="&amp;DATE(YEAR(I$4),MONTH(I$4),1),ExpDocDate,"&lt;="&amp;I$4,ExpAccount,$A38))</f>
        <v>0</v>
      </c>
      <c r="J38" s="189" cm="1">
        <f t="array" aca="1" ref="J38" ca="1">IF(RIGHT($A38,1)="G",-SUMIFS(IncExcl,IncDocDate,"&gt;="&amp;DATE(YEAR(J$4),MONTH(J$4),1),IncDocDate,"&lt;="&amp;J$4,IncAccount,LEFT($A38,5)&amp;"*")+SUMIFS(ExpExcl,ExpDocDate,"&gt;="&amp;DATE(YEAR(J$4),MONTH(J$4),1),ExpDocDate,"&lt;="&amp;J$4,ExpAccount,LEFT($A38,5)&amp;"*"),-SUMIFS(IncExcl,IncDocDate,"&gt;="&amp;DATE(YEAR(J$4),MONTH(J$4),1),IncDocDate,"&lt;="&amp;J$4,IncAccount,$A38)+SUMIFS(ExpExcl,ExpDocDate,"&gt;="&amp;DATE(YEAR(J$4),MONTH(J$4),1),ExpDocDate,"&lt;="&amp;J$4,ExpAccount,$A38))</f>
        <v>0</v>
      </c>
      <c r="K38" s="189" cm="1">
        <f t="array" aca="1" ref="K38" ca="1">IF(RIGHT($A38,1)="G",-SUMIFS(IncExcl,IncDocDate,"&gt;="&amp;DATE(YEAR(K$4),MONTH(K$4),1),IncDocDate,"&lt;="&amp;K$4,IncAccount,LEFT($A38,5)&amp;"*")+SUMIFS(ExpExcl,ExpDocDate,"&gt;="&amp;DATE(YEAR(K$4),MONTH(K$4),1),ExpDocDate,"&lt;="&amp;K$4,ExpAccount,LEFT($A38,5)&amp;"*"),-SUMIFS(IncExcl,IncDocDate,"&gt;="&amp;DATE(YEAR(K$4),MONTH(K$4),1),IncDocDate,"&lt;="&amp;K$4,IncAccount,$A38)+SUMIFS(ExpExcl,ExpDocDate,"&gt;="&amp;DATE(YEAR(K$4),MONTH(K$4),1),ExpDocDate,"&lt;="&amp;K$4,ExpAccount,$A38))</f>
        <v>0</v>
      </c>
      <c r="L38" s="189" cm="1">
        <f t="array" aca="1" ref="L38" ca="1">IF(RIGHT($A38,1)="G",-SUMIFS(IncExcl,IncDocDate,"&gt;="&amp;DATE(YEAR(L$4),MONTH(L$4),1),IncDocDate,"&lt;="&amp;L$4,IncAccount,LEFT($A38,5)&amp;"*")+SUMIFS(ExpExcl,ExpDocDate,"&gt;="&amp;DATE(YEAR(L$4),MONTH(L$4),1),ExpDocDate,"&lt;="&amp;L$4,ExpAccount,LEFT($A38,5)&amp;"*"),-SUMIFS(IncExcl,IncDocDate,"&gt;="&amp;DATE(YEAR(L$4),MONTH(L$4),1),IncDocDate,"&lt;="&amp;L$4,IncAccount,$A38)+SUMIFS(ExpExcl,ExpDocDate,"&gt;="&amp;DATE(YEAR(L$4),MONTH(L$4),1),ExpDocDate,"&lt;="&amp;L$4,ExpAccount,$A38))</f>
        <v>0</v>
      </c>
      <c r="M38" s="189" cm="1">
        <f t="array" aca="1" ref="M38" ca="1">IF(RIGHT($A38,1)="G",-SUMIFS(IncExcl,IncDocDate,"&gt;="&amp;DATE(YEAR(M$4),MONTH(M$4),1),IncDocDate,"&lt;="&amp;M$4,IncAccount,LEFT($A38,5)&amp;"*")+SUMIFS(ExpExcl,ExpDocDate,"&gt;="&amp;DATE(YEAR(M$4),MONTH(M$4),1),ExpDocDate,"&lt;="&amp;M$4,ExpAccount,LEFT($A38,5)&amp;"*"),-SUMIFS(IncExcl,IncDocDate,"&gt;="&amp;DATE(YEAR(M$4),MONTH(M$4),1),IncDocDate,"&lt;="&amp;M$4,IncAccount,$A38)+SUMIFS(ExpExcl,ExpDocDate,"&gt;="&amp;DATE(YEAR(M$4),MONTH(M$4),1),ExpDocDate,"&lt;="&amp;M$4,ExpAccount,$A38))</f>
        <v>0</v>
      </c>
      <c r="N38" s="189" cm="1">
        <f t="array" aca="1" ref="N38" ca="1">IF(RIGHT($A38,1)="G",-SUMIFS(IncExcl,IncDocDate,"&gt;="&amp;DATE(YEAR(N$4),MONTH(N$4),1),IncDocDate,"&lt;="&amp;N$4,IncAccount,LEFT($A38,5)&amp;"*")+SUMIFS(ExpExcl,ExpDocDate,"&gt;="&amp;DATE(YEAR(N$4),MONTH(N$4),1),ExpDocDate,"&lt;="&amp;N$4,ExpAccount,LEFT($A38,5)&amp;"*"),-SUMIFS(IncExcl,IncDocDate,"&gt;="&amp;DATE(YEAR(N$4),MONTH(N$4),1),IncDocDate,"&lt;="&amp;N$4,IncAccount,$A38)+SUMIFS(ExpExcl,ExpDocDate,"&gt;="&amp;DATE(YEAR(N$4),MONTH(N$4),1),ExpDocDate,"&lt;="&amp;N$4,ExpAccount,$A38))</f>
        <v>0</v>
      </c>
      <c r="O38" s="176">
        <f t="shared" ref="O38:O39" ca="1" si="7">SUM(C38:N38)</f>
        <v>0</v>
      </c>
      <c r="P38" s="176" cm="1">
        <f t="array" aca="1" ref="P38" ca="1">IF(RIGHT($A38,1)="G",-SUMIFS(IncExcl,IncDocDate,"&gt;="&amp;$P$2,IncDocDate,"&lt;="&amp;$P$3,IncAccount,LEFT($A38,5)&amp;"*")+SUMIFS(ExpExcl,ExpDocDate,"&gt;="&amp;$P$2,ExpDocDate,"&lt;="&amp;$P$3,ExpAccount,LEFT($A38,5)&amp;"*"),-SUMIFS(IncExcl,IncDocDate,"&gt;="&amp;$P$2,IncDocDate,"&lt;="&amp;$P$3,IncAccount,$A38)+SUMIFS(ExpExcl,ExpDocDate,"&gt;="&amp;$P$2,ExpDocDate,"&lt;="&amp;$P$3,ExpAccount,$A38))</f>
        <v>0</v>
      </c>
    </row>
    <row r="39" spans="1:16" ht="15.95" customHeight="1" x14ac:dyDescent="0.3">
      <c r="A39" s="277" t="s">
        <v>202</v>
      </c>
      <c r="B39" s="12" t="str">
        <f ca="1">IF(RIGHT($A39,1)="G",IF(ISNA(VLOOKUP(LEFT($A39,LEN($A39)-1),GroupAll,COLUMN(Groups!$B$4),0)),"Group Not Found",VLOOKUP(LEFT($A39,LEN($A39)-1),GroupAll,COLUMN(Groups!$B$4),0)),IF(ISNA(VLOOKUP($A39,AccountAll,COLUMN(TB!$B$4),0)),"Account Not Found",VLOOKUP($A39,AccountAll,COLUMN(TB!$B$4),0)))</f>
        <v>Amortization</v>
      </c>
      <c r="C39" s="189" cm="1">
        <f t="array" aca="1" ref="C39" ca="1">IF(RIGHT($A39,1)="G",-SUMIFS(IncExcl,IncDocDate,"&gt;="&amp;DATE(YEAR(C$4),MONTH(C$4),1),IncDocDate,"&lt;="&amp;C$4,IncAccount,LEFT($A39,5)&amp;"*")+SUMIFS(ExpExcl,ExpDocDate,"&gt;="&amp;DATE(YEAR(C$4),MONTH(C$4),1),ExpDocDate,"&lt;="&amp;C$4,ExpAccount,LEFT($A39,5)&amp;"*"),-SUMIFS(IncExcl,IncDocDate,"&gt;="&amp;DATE(YEAR(C$4),MONTH(C$4),1),IncDocDate,"&lt;="&amp;C$4,IncAccount,$A39)+SUMIFS(ExpExcl,ExpDocDate,"&gt;="&amp;DATE(YEAR(C$4),MONTH(C$4),1),ExpDocDate,"&lt;="&amp;C$4,ExpAccount,$A39))</f>
        <v>0</v>
      </c>
      <c r="D39" s="189" cm="1">
        <f t="array" aca="1" ref="D39" ca="1">IF(RIGHT($A39,1)="G",-SUMIFS(IncExcl,IncDocDate,"&gt;="&amp;DATE(YEAR(D$4),MONTH(D$4),1),IncDocDate,"&lt;="&amp;D$4,IncAccount,LEFT($A39,5)&amp;"*")+SUMIFS(ExpExcl,ExpDocDate,"&gt;="&amp;DATE(YEAR(D$4),MONTH(D$4),1),ExpDocDate,"&lt;="&amp;D$4,ExpAccount,LEFT($A39,5)&amp;"*"),-SUMIFS(IncExcl,IncDocDate,"&gt;="&amp;DATE(YEAR(D$4),MONTH(D$4),1),IncDocDate,"&lt;="&amp;D$4,IncAccount,$A39)+SUMIFS(ExpExcl,ExpDocDate,"&gt;="&amp;DATE(YEAR(D$4),MONTH(D$4),1),ExpDocDate,"&lt;="&amp;D$4,ExpAccount,$A39))</f>
        <v>0</v>
      </c>
      <c r="E39" s="189" cm="1">
        <f t="array" aca="1" ref="E39" ca="1">IF(RIGHT($A39,1)="G",-SUMIFS(IncExcl,IncDocDate,"&gt;="&amp;DATE(YEAR(E$4),MONTH(E$4),1),IncDocDate,"&lt;="&amp;E$4,IncAccount,LEFT($A39,5)&amp;"*")+SUMIFS(ExpExcl,ExpDocDate,"&gt;="&amp;DATE(YEAR(E$4),MONTH(E$4),1),ExpDocDate,"&lt;="&amp;E$4,ExpAccount,LEFT($A39,5)&amp;"*"),-SUMIFS(IncExcl,IncDocDate,"&gt;="&amp;DATE(YEAR(E$4),MONTH(E$4),1),IncDocDate,"&lt;="&amp;E$4,IncAccount,$A39)+SUMIFS(ExpExcl,ExpDocDate,"&gt;="&amp;DATE(YEAR(E$4),MONTH(E$4),1),ExpDocDate,"&lt;="&amp;E$4,ExpAccount,$A39))</f>
        <v>0</v>
      </c>
      <c r="F39" s="189" cm="1">
        <f t="array" aca="1" ref="F39" ca="1">IF(RIGHT($A39,1)="G",-SUMIFS(IncExcl,IncDocDate,"&gt;="&amp;DATE(YEAR(F$4),MONTH(F$4),1),IncDocDate,"&lt;="&amp;F$4,IncAccount,LEFT($A39,5)&amp;"*")+SUMIFS(ExpExcl,ExpDocDate,"&gt;="&amp;DATE(YEAR(F$4),MONTH(F$4),1),ExpDocDate,"&lt;="&amp;F$4,ExpAccount,LEFT($A39,5)&amp;"*"),-SUMIFS(IncExcl,IncDocDate,"&gt;="&amp;DATE(YEAR(F$4),MONTH(F$4),1),IncDocDate,"&lt;="&amp;F$4,IncAccount,$A39)+SUMIFS(ExpExcl,ExpDocDate,"&gt;="&amp;DATE(YEAR(F$4),MONTH(F$4),1),ExpDocDate,"&lt;="&amp;F$4,ExpAccount,$A39))</f>
        <v>0</v>
      </c>
      <c r="G39" s="189" cm="1">
        <f t="array" aca="1" ref="G39" ca="1">IF(RIGHT($A39,1)="G",-SUMIFS(IncExcl,IncDocDate,"&gt;="&amp;DATE(YEAR(G$4),MONTH(G$4),1),IncDocDate,"&lt;="&amp;G$4,IncAccount,LEFT($A39,5)&amp;"*")+SUMIFS(ExpExcl,ExpDocDate,"&gt;="&amp;DATE(YEAR(G$4),MONTH(G$4),1),ExpDocDate,"&lt;="&amp;G$4,ExpAccount,LEFT($A39,5)&amp;"*"),-SUMIFS(IncExcl,IncDocDate,"&gt;="&amp;DATE(YEAR(G$4),MONTH(G$4),1),IncDocDate,"&lt;="&amp;G$4,IncAccount,$A39)+SUMIFS(ExpExcl,ExpDocDate,"&gt;="&amp;DATE(YEAR(G$4),MONTH(G$4),1),ExpDocDate,"&lt;="&amp;G$4,ExpAccount,$A39))</f>
        <v>0</v>
      </c>
      <c r="H39" s="189" cm="1">
        <f t="array" aca="1" ref="H39" ca="1">IF(RIGHT($A39,1)="G",-SUMIFS(IncExcl,IncDocDate,"&gt;="&amp;DATE(YEAR(H$4),MONTH(H$4),1),IncDocDate,"&lt;="&amp;H$4,IncAccount,LEFT($A39,5)&amp;"*")+SUMIFS(ExpExcl,ExpDocDate,"&gt;="&amp;DATE(YEAR(H$4),MONTH(H$4),1),ExpDocDate,"&lt;="&amp;H$4,ExpAccount,LEFT($A39,5)&amp;"*"),-SUMIFS(IncExcl,IncDocDate,"&gt;="&amp;DATE(YEAR(H$4),MONTH(H$4),1),IncDocDate,"&lt;="&amp;H$4,IncAccount,$A39)+SUMIFS(ExpExcl,ExpDocDate,"&gt;="&amp;DATE(YEAR(H$4),MONTH(H$4),1),ExpDocDate,"&lt;="&amp;H$4,ExpAccount,$A39))</f>
        <v>0</v>
      </c>
      <c r="I39" s="189" cm="1">
        <f t="array" aca="1" ref="I39" ca="1">IF(RIGHT($A39,1)="G",-SUMIFS(IncExcl,IncDocDate,"&gt;="&amp;DATE(YEAR(I$4),MONTH(I$4),1),IncDocDate,"&lt;="&amp;I$4,IncAccount,LEFT($A39,5)&amp;"*")+SUMIFS(ExpExcl,ExpDocDate,"&gt;="&amp;DATE(YEAR(I$4),MONTH(I$4),1),ExpDocDate,"&lt;="&amp;I$4,ExpAccount,LEFT($A39,5)&amp;"*"),-SUMIFS(IncExcl,IncDocDate,"&gt;="&amp;DATE(YEAR(I$4),MONTH(I$4),1),IncDocDate,"&lt;="&amp;I$4,IncAccount,$A39)+SUMIFS(ExpExcl,ExpDocDate,"&gt;="&amp;DATE(YEAR(I$4),MONTH(I$4),1),ExpDocDate,"&lt;="&amp;I$4,ExpAccount,$A39))</f>
        <v>0</v>
      </c>
      <c r="J39" s="189" cm="1">
        <f t="array" aca="1" ref="J39" ca="1">IF(RIGHT($A39,1)="G",-SUMIFS(IncExcl,IncDocDate,"&gt;="&amp;DATE(YEAR(J$4),MONTH(J$4),1),IncDocDate,"&lt;="&amp;J$4,IncAccount,LEFT($A39,5)&amp;"*")+SUMIFS(ExpExcl,ExpDocDate,"&gt;="&amp;DATE(YEAR(J$4),MONTH(J$4),1),ExpDocDate,"&lt;="&amp;J$4,ExpAccount,LEFT($A39,5)&amp;"*"),-SUMIFS(IncExcl,IncDocDate,"&gt;="&amp;DATE(YEAR(J$4),MONTH(J$4),1),IncDocDate,"&lt;="&amp;J$4,IncAccount,$A39)+SUMIFS(ExpExcl,ExpDocDate,"&gt;="&amp;DATE(YEAR(J$4),MONTH(J$4),1),ExpDocDate,"&lt;="&amp;J$4,ExpAccount,$A39))</f>
        <v>0</v>
      </c>
      <c r="K39" s="189" cm="1">
        <f t="array" aca="1" ref="K39" ca="1">IF(RIGHT($A39,1)="G",-SUMIFS(IncExcl,IncDocDate,"&gt;="&amp;DATE(YEAR(K$4),MONTH(K$4),1),IncDocDate,"&lt;="&amp;K$4,IncAccount,LEFT($A39,5)&amp;"*")+SUMIFS(ExpExcl,ExpDocDate,"&gt;="&amp;DATE(YEAR(K$4),MONTH(K$4),1),ExpDocDate,"&lt;="&amp;K$4,ExpAccount,LEFT($A39,5)&amp;"*"),-SUMIFS(IncExcl,IncDocDate,"&gt;="&amp;DATE(YEAR(K$4),MONTH(K$4),1),IncDocDate,"&lt;="&amp;K$4,IncAccount,$A39)+SUMIFS(ExpExcl,ExpDocDate,"&gt;="&amp;DATE(YEAR(K$4),MONTH(K$4),1),ExpDocDate,"&lt;="&amp;K$4,ExpAccount,$A39))</f>
        <v>0</v>
      </c>
      <c r="L39" s="189" cm="1">
        <f t="array" aca="1" ref="L39" ca="1">IF(RIGHT($A39,1)="G",-SUMIFS(IncExcl,IncDocDate,"&gt;="&amp;DATE(YEAR(L$4),MONTH(L$4),1),IncDocDate,"&lt;="&amp;L$4,IncAccount,LEFT($A39,5)&amp;"*")+SUMIFS(ExpExcl,ExpDocDate,"&gt;="&amp;DATE(YEAR(L$4),MONTH(L$4),1),ExpDocDate,"&lt;="&amp;L$4,ExpAccount,LEFT($A39,5)&amp;"*"),-SUMIFS(IncExcl,IncDocDate,"&gt;="&amp;DATE(YEAR(L$4),MONTH(L$4),1),IncDocDate,"&lt;="&amp;L$4,IncAccount,$A39)+SUMIFS(ExpExcl,ExpDocDate,"&gt;="&amp;DATE(YEAR(L$4),MONTH(L$4),1),ExpDocDate,"&lt;="&amp;L$4,ExpAccount,$A39))</f>
        <v>0</v>
      </c>
      <c r="M39" s="189" cm="1">
        <f t="array" aca="1" ref="M39" ca="1">IF(RIGHT($A39,1)="G",-SUMIFS(IncExcl,IncDocDate,"&gt;="&amp;DATE(YEAR(M$4),MONTH(M$4),1),IncDocDate,"&lt;="&amp;M$4,IncAccount,LEFT($A39,5)&amp;"*")+SUMIFS(ExpExcl,ExpDocDate,"&gt;="&amp;DATE(YEAR(M$4),MONTH(M$4),1),ExpDocDate,"&lt;="&amp;M$4,ExpAccount,LEFT($A39,5)&amp;"*"),-SUMIFS(IncExcl,IncDocDate,"&gt;="&amp;DATE(YEAR(M$4),MONTH(M$4),1),IncDocDate,"&lt;="&amp;M$4,IncAccount,$A39)+SUMIFS(ExpExcl,ExpDocDate,"&gt;="&amp;DATE(YEAR(M$4),MONTH(M$4),1),ExpDocDate,"&lt;="&amp;M$4,ExpAccount,$A39))</f>
        <v>0</v>
      </c>
      <c r="N39" s="189" cm="1">
        <f t="array" aca="1" ref="N39" ca="1">IF(RIGHT($A39,1)="G",-SUMIFS(IncExcl,IncDocDate,"&gt;="&amp;DATE(YEAR(N$4),MONTH(N$4),1),IncDocDate,"&lt;="&amp;N$4,IncAccount,LEFT($A39,5)&amp;"*")+SUMIFS(ExpExcl,ExpDocDate,"&gt;="&amp;DATE(YEAR(N$4),MONTH(N$4),1),ExpDocDate,"&lt;="&amp;N$4,ExpAccount,LEFT($A39,5)&amp;"*"),-SUMIFS(IncExcl,IncDocDate,"&gt;="&amp;DATE(YEAR(N$4),MONTH(N$4),1),IncDocDate,"&lt;="&amp;N$4,IncAccount,$A39)+SUMIFS(ExpExcl,ExpDocDate,"&gt;="&amp;DATE(YEAR(N$4),MONTH(N$4),1),ExpDocDate,"&lt;="&amp;N$4,ExpAccount,$A39))</f>
        <v>0</v>
      </c>
      <c r="O39" s="176">
        <f t="shared" ca="1" si="7"/>
        <v>0</v>
      </c>
      <c r="P39" s="176" cm="1">
        <f t="array" aca="1" ref="P39" ca="1">IF(RIGHT($A39,1)="G",-SUMIFS(IncExcl,IncDocDate,"&gt;="&amp;$P$2,IncDocDate,"&lt;="&amp;$P$3,IncAccount,LEFT($A39,5)&amp;"*")+SUMIFS(ExpExcl,ExpDocDate,"&gt;="&amp;$P$2,ExpDocDate,"&lt;="&amp;$P$3,ExpAccount,LEFT($A39,5)&amp;"*"),-SUMIFS(IncExcl,IncDocDate,"&gt;="&amp;$P$2,IncDocDate,"&lt;="&amp;$P$3,IncAccount,$A39)+SUMIFS(ExpExcl,ExpDocDate,"&gt;="&amp;$P$2,ExpDocDate,"&lt;="&amp;$P$3,ExpAccount,$A39))</f>
        <v>0</v>
      </c>
    </row>
    <row r="40" spans="1:16" s="3" customFormat="1" ht="15.95" customHeight="1" thickBot="1" x14ac:dyDescent="0.3">
      <c r="A40" s="278"/>
      <c r="B40" s="3" t="s">
        <v>264</v>
      </c>
      <c r="C40" s="133">
        <f ca="1">SUM(OFFSET(C37,1,0,ROW($B40)-ROW($B37)-1,1))</f>
        <v>0</v>
      </c>
      <c r="D40" s="133">
        <f t="shared" ref="D40:P40" ca="1" si="8">SUM(OFFSET(D37,1,0,ROW($B40)-ROW($B37)-1,1))</f>
        <v>0</v>
      </c>
      <c r="E40" s="133">
        <f t="shared" ca="1" si="8"/>
        <v>0</v>
      </c>
      <c r="F40" s="133">
        <f t="shared" ca="1" si="8"/>
        <v>0</v>
      </c>
      <c r="G40" s="133">
        <f t="shared" ca="1" si="8"/>
        <v>0</v>
      </c>
      <c r="H40" s="133">
        <f t="shared" ca="1" si="8"/>
        <v>0</v>
      </c>
      <c r="I40" s="133">
        <f t="shared" ca="1" si="8"/>
        <v>0</v>
      </c>
      <c r="J40" s="133">
        <f t="shared" ca="1" si="8"/>
        <v>0</v>
      </c>
      <c r="K40" s="133">
        <f t="shared" ca="1" si="8"/>
        <v>0</v>
      </c>
      <c r="L40" s="133">
        <f t="shared" ca="1" si="8"/>
        <v>0</v>
      </c>
      <c r="M40" s="133">
        <f t="shared" ca="1" si="8"/>
        <v>0</v>
      </c>
      <c r="N40" s="133">
        <f t="shared" ca="1" si="8"/>
        <v>0</v>
      </c>
      <c r="O40" s="133">
        <f t="shared" ca="1" si="8"/>
        <v>0</v>
      </c>
      <c r="P40" s="133">
        <f t="shared" ca="1" si="8"/>
        <v>0</v>
      </c>
    </row>
    <row r="41" spans="1:16" s="3" customFormat="1" ht="15.95" customHeight="1" x14ac:dyDescent="0.25">
      <c r="A41" s="278"/>
      <c r="B41" s="3" t="s">
        <v>265</v>
      </c>
      <c r="C41" s="176">
        <f ca="1">SUM(C10,C11,-C31,-C35,-C36,-C40)</f>
        <v>81748790.214714944</v>
      </c>
      <c r="D41" s="176">
        <f t="shared" ref="D41:N41" ca="1" si="9">SUM(D10,D11,-D31,-D35,-D36,-D40)</f>
        <v>10218310.423728812</v>
      </c>
      <c r="E41" s="176">
        <f t="shared" ca="1" si="9"/>
        <v>0</v>
      </c>
      <c r="F41" s="176">
        <f t="shared" ca="1" si="9"/>
        <v>0</v>
      </c>
      <c r="G41" s="176">
        <f t="shared" ca="1" si="9"/>
        <v>0</v>
      </c>
      <c r="H41" s="176">
        <f t="shared" ca="1" si="9"/>
        <v>0</v>
      </c>
      <c r="I41" s="176">
        <f t="shared" ca="1" si="9"/>
        <v>0</v>
      </c>
      <c r="J41" s="176">
        <f t="shared" ca="1" si="9"/>
        <v>0</v>
      </c>
      <c r="K41" s="176">
        <f t="shared" ca="1" si="9"/>
        <v>0</v>
      </c>
      <c r="L41" s="176">
        <f t="shared" ca="1" si="9"/>
        <v>0</v>
      </c>
      <c r="M41" s="176">
        <f t="shared" ca="1" si="9"/>
        <v>0</v>
      </c>
      <c r="N41" s="176">
        <f t="shared" ca="1" si="9"/>
        <v>0</v>
      </c>
      <c r="O41" s="176">
        <f t="shared" ref="O41" ca="1" si="10">SUM(O10,O11,-O31,-O35,-O36,-O40)</f>
        <v>91967100.638443738</v>
      </c>
      <c r="P41" s="176">
        <f t="shared" ref="P41" ca="1" si="11">SUM(P10,P11,-P31,-P35,-P36,-P40)</f>
        <v>16854490.568412945</v>
      </c>
    </row>
    <row r="42" spans="1:16" ht="15.95" customHeight="1" x14ac:dyDescent="0.3">
      <c r="A42" s="277" t="s">
        <v>266</v>
      </c>
      <c r="B42" s="12" t="str">
        <f ca="1">IF(RIGHT($A42,1)="G",IF(ISNA(VLOOKUP(LEFT($A42,LEN($A42)-1),GroupAll,COLUMN(Groups!$B$4),0)),"Group Not Found",VLOOKUP(LEFT($A42,LEN($A42)-1),GroupAll,COLUMN(Groups!$B$4),0)),IF(ISNA(VLOOKUP($A42,AccountAll,COLUMN(TB!$B$4),0)),"Account Not Found",VLOOKUP($A42,AccountAll,COLUMN(TB!$B$4),0)))</f>
        <v>Interest Paid</v>
      </c>
      <c r="C42" s="189" cm="1">
        <f t="array" aca="1" ref="C42" ca="1">IF(RIGHT($A42,1)="G",-SUMIFS(IncExcl,IncDocDate,"&gt;="&amp;DATE(YEAR(C$4),MONTH(C$4),1),IncDocDate,"&lt;="&amp;C$4,IncAccount,LEFT($A42,5)&amp;"*")+SUMIFS(ExpExcl,ExpDocDate,"&gt;="&amp;DATE(YEAR(C$4),MONTH(C$4),1),ExpDocDate,"&lt;="&amp;C$4,ExpAccount,LEFT($A42,5)&amp;"*"),-SUMIFS(IncExcl,IncDocDate,"&gt;="&amp;DATE(YEAR(C$4),MONTH(C$4),1),IncDocDate,"&lt;="&amp;C$4,IncAccount,$A42)+SUMIFS(ExpExcl,ExpDocDate,"&gt;="&amp;DATE(YEAR(C$4),MONTH(C$4),1),ExpDocDate,"&lt;="&amp;C$4,ExpAccount,$A42))</f>
        <v>0</v>
      </c>
      <c r="D42" s="189" cm="1">
        <f t="array" aca="1" ref="D42" ca="1">IF(RIGHT($A42,1)="G",-SUMIFS(IncExcl,IncDocDate,"&gt;="&amp;DATE(YEAR(D$4),MONTH(D$4),1),IncDocDate,"&lt;="&amp;D$4,IncAccount,LEFT($A42,5)&amp;"*")+SUMIFS(ExpExcl,ExpDocDate,"&gt;="&amp;DATE(YEAR(D$4),MONTH(D$4),1),ExpDocDate,"&lt;="&amp;D$4,ExpAccount,LEFT($A42,5)&amp;"*"),-SUMIFS(IncExcl,IncDocDate,"&gt;="&amp;DATE(YEAR(D$4),MONTH(D$4),1),IncDocDate,"&lt;="&amp;D$4,IncAccount,$A42)+SUMIFS(ExpExcl,ExpDocDate,"&gt;="&amp;DATE(YEAR(D$4),MONTH(D$4),1),ExpDocDate,"&lt;="&amp;D$4,ExpAccount,$A42))</f>
        <v>0</v>
      </c>
      <c r="E42" s="189" cm="1">
        <f t="array" aca="1" ref="E42" ca="1">IF(RIGHT($A42,1)="G",-SUMIFS(IncExcl,IncDocDate,"&gt;="&amp;DATE(YEAR(E$4),MONTH(E$4),1),IncDocDate,"&lt;="&amp;E$4,IncAccount,LEFT($A42,5)&amp;"*")+SUMIFS(ExpExcl,ExpDocDate,"&gt;="&amp;DATE(YEAR(E$4),MONTH(E$4),1),ExpDocDate,"&lt;="&amp;E$4,ExpAccount,LEFT($A42,5)&amp;"*"),-SUMIFS(IncExcl,IncDocDate,"&gt;="&amp;DATE(YEAR(E$4),MONTH(E$4),1),IncDocDate,"&lt;="&amp;E$4,IncAccount,$A42)+SUMIFS(ExpExcl,ExpDocDate,"&gt;="&amp;DATE(YEAR(E$4),MONTH(E$4),1),ExpDocDate,"&lt;="&amp;E$4,ExpAccount,$A42))</f>
        <v>0</v>
      </c>
      <c r="F42" s="189" cm="1">
        <f t="array" aca="1" ref="F42" ca="1">IF(RIGHT($A42,1)="G",-SUMIFS(IncExcl,IncDocDate,"&gt;="&amp;DATE(YEAR(F$4),MONTH(F$4),1),IncDocDate,"&lt;="&amp;F$4,IncAccount,LEFT($A42,5)&amp;"*")+SUMIFS(ExpExcl,ExpDocDate,"&gt;="&amp;DATE(YEAR(F$4),MONTH(F$4),1),ExpDocDate,"&lt;="&amp;F$4,ExpAccount,LEFT($A42,5)&amp;"*"),-SUMIFS(IncExcl,IncDocDate,"&gt;="&amp;DATE(YEAR(F$4),MONTH(F$4),1),IncDocDate,"&lt;="&amp;F$4,IncAccount,$A42)+SUMIFS(ExpExcl,ExpDocDate,"&gt;="&amp;DATE(YEAR(F$4),MONTH(F$4),1),ExpDocDate,"&lt;="&amp;F$4,ExpAccount,$A42))</f>
        <v>0</v>
      </c>
      <c r="G42" s="189" cm="1">
        <f t="array" aca="1" ref="G42" ca="1">IF(RIGHT($A42,1)="G",-SUMIFS(IncExcl,IncDocDate,"&gt;="&amp;DATE(YEAR(G$4),MONTH(G$4),1),IncDocDate,"&lt;="&amp;G$4,IncAccount,LEFT($A42,5)&amp;"*")+SUMIFS(ExpExcl,ExpDocDate,"&gt;="&amp;DATE(YEAR(G$4),MONTH(G$4),1),ExpDocDate,"&lt;="&amp;G$4,ExpAccount,LEFT($A42,5)&amp;"*"),-SUMIFS(IncExcl,IncDocDate,"&gt;="&amp;DATE(YEAR(G$4),MONTH(G$4),1),IncDocDate,"&lt;="&amp;G$4,IncAccount,$A42)+SUMIFS(ExpExcl,ExpDocDate,"&gt;="&amp;DATE(YEAR(G$4),MONTH(G$4),1),ExpDocDate,"&lt;="&amp;G$4,ExpAccount,$A42))</f>
        <v>0</v>
      </c>
      <c r="H42" s="189" cm="1">
        <f t="array" aca="1" ref="H42" ca="1">IF(RIGHT($A42,1)="G",-SUMIFS(IncExcl,IncDocDate,"&gt;="&amp;DATE(YEAR(H$4),MONTH(H$4),1),IncDocDate,"&lt;="&amp;H$4,IncAccount,LEFT($A42,5)&amp;"*")+SUMIFS(ExpExcl,ExpDocDate,"&gt;="&amp;DATE(YEAR(H$4),MONTH(H$4),1),ExpDocDate,"&lt;="&amp;H$4,ExpAccount,LEFT($A42,5)&amp;"*"),-SUMIFS(IncExcl,IncDocDate,"&gt;="&amp;DATE(YEAR(H$4),MONTH(H$4),1),IncDocDate,"&lt;="&amp;H$4,IncAccount,$A42)+SUMIFS(ExpExcl,ExpDocDate,"&gt;="&amp;DATE(YEAR(H$4),MONTH(H$4),1),ExpDocDate,"&lt;="&amp;H$4,ExpAccount,$A42))</f>
        <v>0</v>
      </c>
      <c r="I42" s="189" cm="1">
        <f t="array" aca="1" ref="I42" ca="1">IF(RIGHT($A42,1)="G",-SUMIFS(IncExcl,IncDocDate,"&gt;="&amp;DATE(YEAR(I$4),MONTH(I$4),1),IncDocDate,"&lt;="&amp;I$4,IncAccount,LEFT($A42,5)&amp;"*")+SUMIFS(ExpExcl,ExpDocDate,"&gt;="&amp;DATE(YEAR(I$4),MONTH(I$4),1),ExpDocDate,"&lt;="&amp;I$4,ExpAccount,LEFT($A42,5)&amp;"*"),-SUMIFS(IncExcl,IncDocDate,"&gt;="&amp;DATE(YEAR(I$4),MONTH(I$4),1),IncDocDate,"&lt;="&amp;I$4,IncAccount,$A42)+SUMIFS(ExpExcl,ExpDocDate,"&gt;="&amp;DATE(YEAR(I$4),MONTH(I$4),1),ExpDocDate,"&lt;="&amp;I$4,ExpAccount,$A42))</f>
        <v>0</v>
      </c>
      <c r="J42" s="189" cm="1">
        <f t="array" aca="1" ref="J42" ca="1">IF(RIGHT($A42,1)="G",-SUMIFS(IncExcl,IncDocDate,"&gt;="&amp;DATE(YEAR(J$4),MONTH(J$4),1),IncDocDate,"&lt;="&amp;J$4,IncAccount,LEFT($A42,5)&amp;"*")+SUMIFS(ExpExcl,ExpDocDate,"&gt;="&amp;DATE(YEAR(J$4),MONTH(J$4),1),ExpDocDate,"&lt;="&amp;J$4,ExpAccount,LEFT($A42,5)&amp;"*"),-SUMIFS(IncExcl,IncDocDate,"&gt;="&amp;DATE(YEAR(J$4),MONTH(J$4),1),IncDocDate,"&lt;="&amp;J$4,IncAccount,$A42)+SUMIFS(ExpExcl,ExpDocDate,"&gt;="&amp;DATE(YEAR(J$4),MONTH(J$4),1),ExpDocDate,"&lt;="&amp;J$4,ExpAccount,$A42))</f>
        <v>0</v>
      </c>
      <c r="K42" s="189" cm="1">
        <f t="array" aca="1" ref="K42" ca="1">IF(RIGHT($A42,1)="G",-SUMIFS(IncExcl,IncDocDate,"&gt;="&amp;DATE(YEAR(K$4),MONTH(K$4),1),IncDocDate,"&lt;="&amp;K$4,IncAccount,LEFT($A42,5)&amp;"*")+SUMIFS(ExpExcl,ExpDocDate,"&gt;="&amp;DATE(YEAR(K$4),MONTH(K$4),1),ExpDocDate,"&lt;="&amp;K$4,ExpAccount,LEFT($A42,5)&amp;"*"),-SUMIFS(IncExcl,IncDocDate,"&gt;="&amp;DATE(YEAR(K$4),MONTH(K$4),1),IncDocDate,"&lt;="&amp;K$4,IncAccount,$A42)+SUMIFS(ExpExcl,ExpDocDate,"&gt;="&amp;DATE(YEAR(K$4),MONTH(K$4),1),ExpDocDate,"&lt;="&amp;K$4,ExpAccount,$A42))</f>
        <v>0</v>
      </c>
      <c r="L42" s="189" cm="1">
        <f t="array" aca="1" ref="L42" ca="1">IF(RIGHT($A42,1)="G",-SUMIFS(IncExcl,IncDocDate,"&gt;="&amp;DATE(YEAR(L$4),MONTH(L$4),1),IncDocDate,"&lt;="&amp;L$4,IncAccount,LEFT($A42,5)&amp;"*")+SUMIFS(ExpExcl,ExpDocDate,"&gt;="&amp;DATE(YEAR(L$4),MONTH(L$4),1),ExpDocDate,"&lt;="&amp;L$4,ExpAccount,LEFT($A42,5)&amp;"*"),-SUMIFS(IncExcl,IncDocDate,"&gt;="&amp;DATE(YEAR(L$4),MONTH(L$4),1),IncDocDate,"&lt;="&amp;L$4,IncAccount,$A42)+SUMIFS(ExpExcl,ExpDocDate,"&gt;="&amp;DATE(YEAR(L$4),MONTH(L$4),1),ExpDocDate,"&lt;="&amp;L$4,ExpAccount,$A42))</f>
        <v>0</v>
      </c>
      <c r="M42" s="189" cm="1">
        <f t="array" aca="1" ref="M42" ca="1">IF(RIGHT($A42,1)="G",-SUMIFS(IncExcl,IncDocDate,"&gt;="&amp;DATE(YEAR(M$4),MONTH(M$4),1),IncDocDate,"&lt;="&amp;M$4,IncAccount,LEFT($A42,5)&amp;"*")+SUMIFS(ExpExcl,ExpDocDate,"&gt;="&amp;DATE(YEAR(M$4),MONTH(M$4),1),ExpDocDate,"&lt;="&amp;M$4,ExpAccount,LEFT($A42,5)&amp;"*"),-SUMIFS(IncExcl,IncDocDate,"&gt;="&amp;DATE(YEAR(M$4),MONTH(M$4),1),IncDocDate,"&lt;="&amp;M$4,IncAccount,$A42)+SUMIFS(ExpExcl,ExpDocDate,"&gt;="&amp;DATE(YEAR(M$4),MONTH(M$4),1),ExpDocDate,"&lt;="&amp;M$4,ExpAccount,$A42))</f>
        <v>0</v>
      </c>
      <c r="N42" s="189" cm="1">
        <f t="array" aca="1" ref="N42" ca="1">IF(RIGHT($A42,1)="G",-SUMIFS(IncExcl,IncDocDate,"&gt;="&amp;DATE(YEAR(N$4),MONTH(N$4),1),IncDocDate,"&lt;="&amp;N$4,IncAccount,LEFT($A42,5)&amp;"*")+SUMIFS(ExpExcl,ExpDocDate,"&gt;="&amp;DATE(YEAR(N$4),MONTH(N$4),1),ExpDocDate,"&lt;="&amp;N$4,ExpAccount,LEFT($A42,5)&amp;"*"),-SUMIFS(IncExcl,IncDocDate,"&gt;="&amp;DATE(YEAR(N$4),MONTH(N$4),1),IncDocDate,"&lt;="&amp;N$4,IncAccount,$A42)+SUMIFS(ExpExcl,ExpDocDate,"&gt;="&amp;DATE(YEAR(N$4),MONTH(N$4),1),ExpDocDate,"&lt;="&amp;N$4,ExpAccount,$A42))</f>
        <v>0</v>
      </c>
      <c r="O42" s="176">
        <f ca="1">SUM(C42:N42)</f>
        <v>0</v>
      </c>
      <c r="P42" s="176" cm="1">
        <f t="array" aca="1" ref="P42" ca="1">IF(RIGHT($A42,1)="G",-SUMIFS(IncExcl,IncDocDate,"&gt;="&amp;$P$2,IncDocDate,"&lt;="&amp;$P$3,IncAccount,LEFT($A42,5)&amp;"*")+SUMIFS(ExpExcl,ExpDocDate,"&gt;="&amp;$P$2,ExpDocDate,"&lt;="&amp;$P$3,ExpAccount,LEFT($A42,5)&amp;"*"),-SUMIFS(IncExcl,IncDocDate,"&gt;="&amp;$P$2,IncDocDate,"&lt;="&amp;$P$3,IncAccount,$A42)+SUMIFS(ExpExcl,ExpDocDate,"&gt;="&amp;$P$2,ExpDocDate,"&lt;="&amp;$P$3,ExpAccount,$A42))</f>
        <v>0</v>
      </c>
    </row>
    <row r="43" spans="1:16" s="3" customFormat="1" ht="15.95" customHeight="1" x14ac:dyDescent="0.25">
      <c r="A43" s="278"/>
      <c r="B43" s="3" t="s">
        <v>267</v>
      </c>
      <c r="C43" s="188">
        <f ca="1">SUM(C41,-C42)</f>
        <v>81748790.214714944</v>
      </c>
      <c r="D43" s="188">
        <f t="shared" ref="D43:N43" ca="1" si="12">SUM(D41,-D42)</f>
        <v>10218310.423728812</v>
      </c>
      <c r="E43" s="188">
        <f t="shared" ca="1" si="12"/>
        <v>0</v>
      </c>
      <c r="F43" s="188">
        <f t="shared" ca="1" si="12"/>
        <v>0</v>
      </c>
      <c r="G43" s="188">
        <f t="shared" ca="1" si="12"/>
        <v>0</v>
      </c>
      <c r="H43" s="188">
        <f t="shared" ca="1" si="12"/>
        <v>0</v>
      </c>
      <c r="I43" s="188">
        <f t="shared" ca="1" si="12"/>
        <v>0</v>
      </c>
      <c r="J43" s="188">
        <f t="shared" ca="1" si="12"/>
        <v>0</v>
      </c>
      <c r="K43" s="188">
        <f t="shared" ca="1" si="12"/>
        <v>0</v>
      </c>
      <c r="L43" s="188">
        <f t="shared" ca="1" si="12"/>
        <v>0</v>
      </c>
      <c r="M43" s="188">
        <f t="shared" ca="1" si="12"/>
        <v>0</v>
      </c>
      <c r="N43" s="188">
        <f t="shared" ca="1" si="12"/>
        <v>0</v>
      </c>
      <c r="O43" s="188">
        <f t="shared" ref="O43" ca="1" si="13">SUM(O41,-O42)</f>
        <v>91967100.638443738</v>
      </c>
      <c r="P43" s="188">
        <f t="shared" ref="P43" ca="1" si="14">SUM(P41,-P42)</f>
        <v>16854490.568412945</v>
      </c>
    </row>
    <row r="44" spans="1:16" ht="15.95" customHeight="1" x14ac:dyDescent="0.3">
      <c r="A44" s="277" t="s">
        <v>269</v>
      </c>
      <c r="B44" s="12" t="str">
        <f ca="1">IF(RIGHT($A44,1)="G",IF(ISNA(VLOOKUP(LEFT($A44,LEN($A44)-1),GroupAll,COLUMN(Groups!$B$4),0)),"Group Not Found",VLOOKUP(LEFT($A44,LEN($A44)-1),GroupAll,COLUMN(Groups!$B$4),0)),IF(ISNA(VLOOKUP($A44,AccountAll,COLUMN(TB!$B$4),0)),"Account Not Found",VLOOKUP($A44,AccountAll,COLUMN(TB!$B$4),0)))</f>
        <v>Taxation Paid</v>
      </c>
      <c r="C44" s="189" cm="1">
        <f t="array" aca="1" ref="C44" ca="1">IF(RIGHT($A44,1)="G",-SUMIFS(IncExcl,IncDocDate,"&gt;="&amp;DATE(YEAR(C$4),MONTH(C$4),1),IncDocDate,"&lt;="&amp;C$4,IncAccount,LEFT($A44,5)&amp;"*")+SUMIFS(ExpExcl,ExpDocDate,"&gt;="&amp;DATE(YEAR(C$4),MONTH(C$4),1),ExpDocDate,"&lt;="&amp;C$4,ExpAccount,LEFT($A44,5)&amp;"*"),-SUMIFS(IncExcl,IncDocDate,"&gt;="&amp;DATE(YEAR(C$4),MONTH(C$4),1),IncDocDate,"&lt;="&amp;C$4,IncAccount,$A44)+SUMIFS(ExpExcl,ExpDocDate,"&gt;="&amp;DATE(YEAR(C$4),MONTH(C$4),1),ExpDocDate,"&lt;="&amp;C$4,ExpAccount,$A44))</f>
        <v>0</v>
      </c>
      <c r="D44" s="189" cm="1">
        <f t="array" aca="1" ref="D44" ca="1">IF(RIGHT($A44,1)="G",-SUMIFS(IncExcl,IncDocDate,"&gt;="&amp;DATE(YEAR(D$4),MONTH(D$4),1),IncDocDate,"&lt;="&amp;D$4,IncAccount,LEFT($A44,5)&amp;"*")+SUMIFS(ExpExcl,ExpDocDate,"&gt;="&amp;DATE(YEAR(D$4),MONTH(D$4),1),ExpDocDate,"&lt;="&amp;D$4,ExpAccount,LEFT($A44,5)&amp;"*"),-SUMIFS(IncExcl,IncDocDate,"&gt;="&amp;DATE(YEAR(D$4),MONTH(D$4),1),IncDocDate,"&lt;="&amp;D$4,IncAccount,$A44)+SUMIFS(ExpExcl,ExpDocDate,"&gt;="&amp;DATE(YEAR(D$4),MONTH(D$4),1),ExpDocDate,"&lt;="&amp;D$4,ExpAccount,$A44))</f>
        <v>0</v>
      </c>
      <c r="E44" s="189" cm="1">
        <f t="array" aca="1" ref="E44" ca="1">IF(RIGHT($A44,1)="G",-SUMIFS(IncExcl,IncDocDate,"&gt;="&amp;DATE(YEAR(E$4),MONTH(E$4),1),IncDocDate,"&lt;="&amp;E$4,IncAccount,LEFT($A44,5)&amp;"*")+SUMIFS(ExpExcl,ExpDocDate,"&gt;="&amp;DATE(YEAR(E$4),MONTH(E$4),1),ExpDocDate,"&lt;="&amp;E$4,ExpAccount,LEFT($A44,5)&amp;"*"),-SUMIFS(IncExcl,IncDocDate,"&gt;="&amp;DATE(YEAR(E$4),MONTH(E$4),1),IncDocDate,"&lt;="&amp;E$4,IncAccount,$A44)+SUMIFS(ExpExcl,ExpDocDate,"&gt;="&amp;DATE(YEAR(E$4),MONTH(E$4),1),ExpDocDate,"&lt;="&amp;E$4,ExpAccount,$A44))</f>
        <v>0</v>
      </c>
      <c r="F44" s="189" cm="1">
        <f t="array" aca="1" ref="F44" ca="1">IF(RIGHT($A44,1)="G",-SUMIFS(IncExcl,IncDocDate,"&gt;="&amp;DATE(YEAR(F$4),MONTH(F$4),1),IncDocDate,"&lt;="&amp;F$4,IncAccount,LEFT($A44,5)&amp;"*")+SUMIFS(ExpExcl,ExpDocDate,"&gt;="&amp;DATE(YEAR(F$4),MONTH(F$4),1),ExpDocDate,"&lt;="&amp;F$4,ExpAccount,LEFT($A44,5)&amp;"*"),-SUMIFS(IncExcl,IncDocDate,"&gt;="&amp;DATE(YEAR(F$4),MONTH(F$4),1),IncDocDate,"&lt;="&amp;F$4,IncAccount,$A44)+SUMIFS(ExpExcl,ExpDocDate,"&gt;="&amp;DATE(YEAR(F$4),MONTH(F$4),1),ExpDocDate,"&lt;="&amp;F$4,ExpAccount,$A44))</f>
        <v>0</v>
      </c>
      <c r="G44" s="189" cm="1">
        <f t="array" aca="1" ref="G44" ca="1">IF(RIGHT($A44,1)="G",-SUMIFS(IncExcl,IncDocDate,"&gt;="&amp;DATE(YEAR(G$4),MONTH(G$4),1),IncDocDate,"&lt;="&amp;G$4,IncAccount,LEFT($A44,5)&amp;"*")+SUMIFS(ExpExcl,ExpDocDate,"&gt;="&amp;DATE(YEAR(G$4),MONTH(G$4),1),ExpDocDate,"&lt;="&amp;G$4,ExpAccount,LEFT($A44,5)&amp;"*"),-SUMIFS(IncExcl,IncDocDate,"&gt;="&amp;DATE(YEAR(G$4),MONTH(G$4),1),IncDocDate,"&lt;="&amp;G$4,IncAccount,$A44)+SUMIFS(ExpExcl,ExpDocDate,"&gt;="&amp;DATE(YEAR(G$4),MONTH(G$4),1),ExpDocDate,"&lt;="&amp;G$4,ExpAccount,$A44))</f>
        <v>0</v>
      </c>
      <c r="H44" s="189" cm="1">
        <f t="array" aca="1" ref="H44" ca="1">IF(RIGHT($A44,1)="G",-SUMIFS(IncExcl,IncDocDate,"&gt;="&amp;DATE(YEAR(H$4),MONTH(H$4),1),IncDocDate,"&lt;="&amp;H$4,IncAccount,LEFT($A44,5)&amp;"*")+SUMIFS(ExpExcl,ExpDocDate,"&gt;="&amp;DATE(YEAR(H$4),MONTH(H$4),1),ExpDocDate,"&lt;="&amp;H$4,ExpAccount,LEFT($A44,5)&amp;"*"),-SUMIFS(IncExcl,IncDocDate,"&gt;="&amp;DATE(YEAR(H$4),MONTH(H$4),1),IncDocDate,"&lt;="&amp;H$4,IncAccount,$A44)+SUMIFS(ExpExcl,ExpDocDate,"&gt;="&amp;DATE(YEAR(H$4),MONTH(H$4),1),ExpDocDate,"&lt;="&amp;H$4,ExpAccount,$A44))</f>
        <v>0</v>
      </c>
      <c r="I44" s="189" cm="1">
        <f t="array" aca="1" ref="I44" ca="1">IF(RIGHT($A44,1)="G",-SUMIFS(IncExcl,IncDocDate,"&gt;="&amp;DATE(YEAR(I$4),MONTH(I$4),1),IncDocDate,"&lt;="&amp;I$4,IncAccount,LEFT($A44,5)&amp;"*")+SUMIFS(ExpExcl,ExpDocDate,"&gt;="&amp;DATE(YEAR(I$4),MONTH(I$4),1),ExpDocDate,"&lt;="&amp;I$4,ExpAccount,LEFT($A44,5)&amp;"*"),-SUMIFS(IncExcl,IncDocDate,"&gt;="&amp;DATE(YEAR(I$4),MONTH(I$4),1),IncDocDate,"&lt;="&amp;I$4,IncAccount,$A44)+SUMIFS(ExpExcl,ExpDocDate,"&gt;="&amp;DATE(YEAR(I$4),MONTH(I$4),1),ExpDocDate,"&lt;="&amp;I$4,ExpAccount,$A44))</f>
        <v>0</v>
      </c>
      <c r="J44" s="189" cm="1">
        <f t="array" aca="1" ref="J44" ca="1">IF(RIGHT($A44,1)="G",-SUMIFS(IncExcl,IncDocDate,"&gt;="&amp;DATE(YEAR(J$4),MONTH(J$4),1),IncDocDate,"&lt;="&amp;J$4,IncAccount,LEFT($A44,5)&amp;"*")+SUMIFS(ExpExcl,ExpDocDate,"&gt;="&amp;DATE(YEAR(J$4),MONTH(J$4),1),ExpDocDate,"&lt;="&amp;J$4,ExpAccount,LEFT($A44,5)&amp;"*"),-SUMIFS(IncExcl,IncDocDate,"&gt;="&amp;DATE(YEAR(J$4),MONTH(J$4),1),IncDocDate,"&lt;="&amp;J$4,IncAccount,$A44)+SUMIFS(ExpExcl,ExpDocDate,"&gt;="&amp;DATE(YEAR(J$4),MONTH(J$4),1),ExpDocDate,"&lt;="&amp;J$4,ExpAccount,$A44))</f>
        <v>0</v>
      </c>
      <c r="K44" s="189" cm="1">
        <f t="array" aca="1" ref="K44" ca="1">IF(RIGHT($A44,1)="G",-SUMIFS(IncExcl,IncDocDate,"&gt;="&amp;DATE(YEAR(K$4),MONTH(K$4),1),IncDocDate,"&lt;="&amp;K$4,IncAccount,LEFT($A44,5)&amp;"*")+SUMIFS(ExpExcl,ExpDocDate,"&gt;="&amp;DATE(YEAR(K$4),MONTH(K$4),1),ExpDocDate,"&lt;="&amp;K$4,ExpAccount,LEFT($A44,5)&amp;"*"),-SUMIFS(IncExcl,IncDocDate,"&gt;="&amp;DATE(YEAR(K$4),MONTH(K$4),1),IncDocDate,"&lt;="&amp;K$4,IncAccount,$A44)+SUMIFS(ExpExcl,ExpDocDate,"&gt;="&amp;DATE(YEAR(K$4),MONTH(K$4),1),ExpDocDate,"&lt;="&amp;K$4,ExpAccount,$A44))</f>
        <v>0</v>
      </c>
      <c r="L44" s="189" cm="1">
        <f t="array" aca="1" ref="L44" ca="1">IF(RIGHT($A44,1)="G",-SUMIFS(IncExcl,IncDocDate,"&gt;="&amp;DATE(YEAR(L$4),MONTH(L$4),1),IncDocDate,"&lt;="&amp;L$4,IncAccount,LEFT($A44,5)&amp;"*")+SUMIFS(ExpExcl,ExpDocDate,"&gt;="&amp;DATE(YEAR(L$4),MONTH(L$4),1),ExpDocDate,"&lt;="&amp;L$4,ExpAccount,LEFT($A44,5)&amp;"*"),-SUMIFS(IncExcl,IncDocDate,"&gt;="&amp;DATE(YEAR(L$4),MONTH(L$4),1),IncDocDate,"&lt;="&amp;L$4,IncAccount,$A44)+SUMIFS(ExpExcl,ExpDocDate,"&gt;="&amp;DATE(YEAR(L$4),MONTH(L$4),1),ExpDocDate,"&lt;="&amp;L$4,ExpAccount,$A44))</f>
        <v>0</v>
      </c>
      <c r="M44" s="189" cm="1">
        <f t="array" aca="1" ref="M44" ca="1">IF(RIGHT($A44,1)="G",-SUMIFS(IncExcl,IncDocDate,"&gt;="&amp;DATE(YEAR(M$4),MONTH(M$4),1),IncDocDate,"&lt;="&amp;M$4,IncAccount,LEFT($A44,5)&amp;"*")+SUMIFS(ExpExcl,ExpDocDate,"&gt;="&amp;DATE(YEAR(M$4),MONTH(M$4),1),ExpDocDate,"&lt;="&amp;M$4,ExpAccount,LEFT($A44,5)&amp;"*"),-SUMIFS(IncExcl,IncDocDate,"&gt;="&amp;DATE(YEAR(M$4),MONTH(M$4),1),IncDocDate,"&lt;="&amp;M$4,IncAccount,$A44)+SUMIFS(ExpExcl,ExpDocDate,"&gt;="&amp;DATE(YEAR(M$4),MONTH(M$4),1),ExpDocDate,"&lt;="&amp;M$4,ExpAccount,$A44))</f>
        <v>0</v>
      </c>
      <c r="N44" s="189" cm="1">
        <f t="array" aca="1" ref="N44" ca="1">IF(RIGHT($A44,1)="G",-SUMIFS(IncExcl,IncDocDate,"&gt;="&amp;DATE(YEAR(N$4),MONTH(N$4),1),IncDocDate,"&lt;="&amp;N$4,IncAccount,LEFT($A44,5)&amp;"*")+SUMIFS(ExpExcl,ExpDocDate,"&gt;="&amp;DATE(YEAR(N$4),MONTH(N$4),1),ExpDocDate,"&lt;="&amp;N$4,ExpAccount,LEFT($A44,5)&amp;"*"),-SUMIFS(IncExcl,IncDocDate,"&gt;="&amp;DATE(YEAR(N$4),MONTH(N$4),1),IncDocDate,"&lt;="&amp;N$4,IncAccount,$A44)+SUMIFS(ExpExcl,ExpDocDate,"&gt;="&amp;DATE(YEAR(N$4),MONTH(N$4),1),ExpDocDate,"&lt;="&amp;N$4,ExpAccount,$A44))</f>
        <v>0</v>
      </c>
      <c r="O44" s="176">
        <f ca="1">SUM(C44:N44)</f>
        <v>0</v>
      </c>
      <c r="P44" s="176" cm="1">
        <f t="array" aca="1" ref="P44" ca="1">IF(RIGHT($A44,1)="G",-SUMIFS(IncExcl,IncDocDate,"&gt;="&amp;$P$2,IncDocDate,"&lt;="&amp;$P$3,IncAccount,LEFT($A44,5)&amp;"*")+SUMIFS(ExpExcl,ExpDocDate,"&gt;="&amp;$P$2,ExpDocDate,"&lt;="&amp;$P$3,ExpAccount,LEFT($A44,5)&amp;"*"),-SUMIFS(IncExcl,IncDocDate,"&gt;="&amp;$P$2,IncDocDate,"&lt;="&amp;$P$3,IncAccount,$A44)+SUMIFS(ExpExcl,ExpDocDate,"&gt;="&amp;$P$2,ExpDocDate,"&lt;="&amp;$P$3,ExpAccount,$A44))</f>
        <v>0</v>
      </c>
    </row>
    <row r="45" spans="1:16" s="3" customFormat="1" ht="15.95" customHeight="1" x14ac:dyDescent="0.25">
      <c r="A45" s="278"/>
      <c r="B45" s="3" t="s">
        <v>268</v>
      </c>
      <c r="C45" s="188">
        <f ca="1">SUM(C43,-C44)</f>
        <v>81748790.214714944</v>
      </c>
      <c r="D45" s="188">
        <f t="shared" ref="D45:N45" ca="1" si="15">SUM(D43,-D44)</f>
        <v>10218310.423728812</v>
      </c>
      <c r="E45" s="188">
        <f t="shared" ca="1" si="15"/>
        <v>0</v>
      </c>
      <c r="F45" s="188">
        <f t="shared" ca="1" si="15"/>
        <v>0</v>
      </c>
      <c r="G45" s="188">
        <f t="shared" ca="1" si="15"/>
        <v>0</v>
      </c>
      <c r="H45" s="188">
        <f t="shared" ca="1" si="15"/>
        <v>0</v>
      </c>
      <c r="I45" s="188">
        <f t="shared" ca="1" si="15"/>
        <v>0</v>
      </c>
      <c r="J45" s="188">
        <f t="shared" ca="1" si="15"/>
        <v>0</v>
      </c>
      <c r="K45" s="188">
        <f t="shared" ca="1" si="15"/>
        <v>0</v>
      </c>
      <c r="L45" s="188">
        <f t="shared" ca="1" si="15"/>
        <v>0</v>
      </c>
      <c r="M45" s="188">
        <f t="shared" ca="1" si="15"/>
        <v>0</v>
      </c>
      <c r="N45" s="188">
        <f t="shared" ca="1" si="15"/>
        <v>0</v>
      </c>
      <c r="O45" s="188">
        <f t="shared" ref="O45" ca="1" si="16">SUM(O43,-O44)</f>
        <v>91967100.638443738</v>
      </c>
      <c r="P45" s="188">
        <f t="shared" ref="P45" ca="1" si="17">SUM(P43,-P44)</f>
        <v>16854490.568412945</v>
      </c>
    </row>
    <row r="46" spans="1:16" ht="15.95" customHeight="1" x14ac:dyDescent="0.3">
      <c r="A46" s="277" t="s">
        <v>270</v>
      </c>
      <c r="B46" s="12" t="str">
        <f ca="1">IF(RIGHT($A46,1)="G",IF(ISNA(VLOOKUP(LEFT($A46,LEN($A46)-1),GroupAll,COLUMN(Groups!$B$4),0)),"Group Not Found",VLOOKUP(LEFT($A46,LEN($A46)-1),GroupAll,COLUMN(Groups!$B$4),0)),IF(ISNA(VLOOKUP($A46,AccountAll,COLUMN(TB!$B$4),0)),"Account Not Found",VLOOKUP($A46,AccountAll,COLUMN(TB!$B$4),0)))</f>
        <v>Dividends Paid</v>
      </c>
      <c r="C46" s="189" cm="1">
        <f t="array" aca="1" ref="C46" ca="1">IF(RIGHT($A46,1)="G",-SUMIFS(IncExcl,IncDocDate,"&gt;="&amp;DATE(YEAR(C$4),MONTH(C$4),1),IncDocDate,"&lt;="&amp;C$4,IncAccount,LEFT($A46,5)&amp;"*")+SUMIFS(ExpExcl,ExpDocDate,"&gt;="&amp;DATE(YEAR(C$4),MONTH(C$4),1),ExpDocDate,"&lt;="&amp;C$4,ExpAccount,LEFT($A46,5)&amp;"*"),-SUMIFS(IncExcl,IncDocDate,"&gt;="&amp;DATE(YEAR(C$4),MONTH(C$4),1),IncDocDate,"&lt;="&amp;C$4,IncAccount,$A46)+SUMIFS(ExpExcl,ExpDocDate,"&gt;="&amp;DATE(YEAR(C$4),MONTH(C$4),1),ExpDocDate,"&lt;="&amp;C$4,ExpAccount,$A46))</f>
        <v>0</v>
      </c>
      <c r="D46" s="189" cm="1">
        <f t="array" aca="1" ref="D46" ca="1">IF(RIGHT($A46,1)="G",-SUMIFS(IncExcl,IncDocDate,"&gt;="&amp;DATE(YEAR(D$4),MONTH(D$4),1),IncDocDate,"&lt;="&amp;D$4,IncAccount,LEFT($A46,5)&amp;"*")+SUMIFS(ExpExcl,ExpDocDate,"&gt;="&amp;DATE(YEAR(D$4),MONTH(D$4),1),ExpDocDate,"&lt;="&amp;D$4,ExpAccount,LEFT($A46,5)&amp;"*"),-SUMIFS(IncExcl,IncDocDate,"&gt;="&amp;DATE(YEAR(D$4),MONTH(D$4),1),IncDocDate,"&lt;="&amp;D$4,IncAccount,$A46)+SUMIFS(ExpExcl,ExpDocDate,"&gt;="&amp;DATE(YEAR(D$4),MONTH(D$4),1),ExpDocDate,"&lt;="&amp;D$4,ExpAccount,$A46))</f>
        <v>0</v>
      </c>
      <c r="E46" s="189" cm="1">
        <f t="array" aca="1" ref="E46" ca="1">IF(RIGHT($A46,1)="G",-SUMIFS(IncExcl,IncDocDate,"&gt;="&amp;DATE(YEAR(E$4),MONTH(E$4),1),IncDocDate,"&lt;="&amp;E$4,IncAccount,LEFT($A46,5)&amp;"*")+SUMIFS(ExpExcl,ExpDocDate,"&gt;="&amp;DATE(YEAR(E$4),MONTH(E$4),1),ExpDocDate,"&lt;="&amp;E$4,ExpAccount,LEFT($A46,5)&amp;"*"),-SUMIFS(IncExcl,IncDocDate,"&gt;="&amp;DATE(YEAR(E$4),MONTH(E$4),1),IncDocDate,"&lt;="&amp;E$4,IncAccount,$A46)+SUMIFS(ExpExcl,ExpDocDate,"&gt;="&amp;DATE(YEAR(E$4),MONTH(E$4),1),ExpDocDate,"&lt;="&amp;E$4,ExpAccount,$A46))</f>
        <v>0</v>
      </c>
      <c r="F46" s="189" cm="1">
        <f t="array" aca="1" ref="F46" ca="1">IF(RIGHT($A46,1)="G",-SUMIFS(IncExcl,IncDocDate,"&gt;="&amp;DATE(YEAR(F$4),MONTH(F$4),1),IncDocDate,"&lt;="&amp;F$4,IncAccount,LEFT($A46,5)&amp;"*")+SUMIFS(ExpExcl,ExpDocDate,"&gt;="&amp;DATE(YEAR(F$4),MONTH(F$4),1),ExpDocDate,"&lt;="&amp;F$4,ExpAccount,LEFT($A46,5)&amp;"*"),-SUMIFS(IncExcl,IncDocDate,"&gt;="&amp;DATE(YEAR(F$4),MONTH(F$4),1),IncDocDate,"&lt;="&amp;F$4,IncAccount,$A46)+SUMIFS(ExpExcl,ExpDocDate,"&gt;="&amp;DATE(YEAR(F$4),MONTH(F$4),1),ExpDocDate,"&lt;="&amp;F$4,ExpAccount,$A46))</f>
        <v>0</v>
      </c>
      <c r="G46" s="189" cm="1">
        <f t="array" aca="1" ref="G46" ca="1">IF(RIGHT($A46,1)="G",-SUMIFS(IncExcl,IncDocDate,"&gt;="&amp;DATE(YEAR(G$4),MONTH(G$4),1),IncDocDate,"&lt;="&amp;G$4,IncAccount,LEFT($A46,5)&amp;"*")+SUMIFS(ExpExcl,ExpDocDate,"&gt;="&amp;DATE(YEAR(G$4),MONTH(G$4),1),ExpDocDate,"&lt;="&amp;G$4,ExpAccount,LEFT($A46,5)&amp;"*"),-SUMIFS(IncExcl,IncDocDate,"&gt;="&amp;DATE(YEAR(G$4),MONTH(G$4),1),IncDocDate,"&lt;="&amp;G$4,IncAccount,$A46)+SUMIFS(ExpExcl,ExpDocDate,"&gt;="&amp;DATE(YEAR(G$4),MONTH(G$4),1),ExpDocDate,"&lt;="&amp;G$4,ExpAccount,$A46))</f>
        <v>0</v>
      </c>
      <c r="H46" s="189" cm="1">
        <f t="array" aca="1" ref="H46" ca="1">IF(RIGHT($A46,1)="G",-SUMIFS(IncExcl,IncDocDate,"&gt;="&amp;DATE(YEAR(H$4),MONTH(H$4),1),IncDocDate,"&lt;="&amp;H$4,IncAccount,LEFT($A46,5)&amp;"*")+SUMIFS(ExpExcl,ExpDocDate,"&gt;="&amp;DATE(YEAR(H$4),MONTH(H$4),1),ExpDocDate,"&lt;="&amp;H$4,ExpAccount,LEFT($A46,5)&amp;"*"),-SUMIFS(IncExcl,IncDocDate,"&gt;="&amp;DATE(YEAR(H$4),MONTH(H$4),1),IncDocDate,"&lt;="&amp;H$4,IncAccount,$A46)+SUMIFS(ExpExcl,ExpDocDate,"&gt;="&amp;DATE(YEAR(H$4),MONTH(H$4),1),ExpDocDate,"&lt;="&amp;H$4,ExpAccount,$A46))</f>
        <v>0</v>
      </c>
      <c r="I46" s="189" cm="1">
        <f t="array" aca="1" ref="I46" ca="1">IF(RIGHT($A46,1)="G",-SUMIFS(IncExcl,IncDocDate,"&gt;="&amp;DATE(YEAR(I$4),MONTH(I$4),1),IncDocDate,"&lt;="&amp;I$4,IncAccount,LEFT($A46,5)&amp;"*")+SUMIFS(ExpExcl,ExpDocDate,"&gt;="&amp;DATE(YEAR(I$4),MONTH(I$4),1),ExpDocDate,"&lt;="&amp;I$4,ExpAccount,LEFT($A46,5)&amp;"*"),-SUMIFS(IncExcl,IncDocDate,"&gt;="&amp;DATE(YEAR(I$4),MONTH(I$4),1),IncDocDate,"&lt;="&amp;I$4,IncAccount,$A46)+SUMIFS(ExpExcl,ExpDocDate,"&gt;="&amp;DATE(YEAR(I$4),MONTH(I$4),1),ExpDocDate,"&lt;="&amp;I$4,ExpAccount,$A46))</f>
        <v>0</v>
      </c>
      <c r="J46" s="189" cm="1">
        <f t="array" aca="1" ref="J46" ca="1">IF(RIGHT($A46,1)="G",-SUMIFS(IncExcl,IncDocDate,"&gt;="&amp;DATE(YEAR(J$4),MONTH(J$4),1),IncDocDate,"&lt;="&amp;J$4,IncAccount,LEFT($A46,5)&amp;"*")+SUMIFS(ExpExcl,ExpDocDate,"&gt;="&amp;DATE(YEAR(J$4),MONTH(J$4),1),ExpDocDate,"&lt;="&amp;J$4,ExpAccount,LEFT($A46,5)&amp;"*"),-SUMIFS(IncExcl,IncDocDate,"&gt;="&amp;DATE(YEAR(J$4),MONTH(J$4),1),IncDocDate,"&lt;="&amp;J$4,IncAccount,$A46)+SUMIFS(ExpExcl,ExpDocDate,"&gt;="&amp;DATE(YEAR(J$4),MONTH(J$4),1),ExpDocDate,"&lt;="&amp;J$4,ExpAccount,$A46))</f>
        <v>0</v>
      </c>
      <c r="K46" s="189" cm="1">
        <f t="array" aca="1" ref="K46" ca="1">IF(RIGHT($A46,1)="G",-SUMIFS(IncExcl,IncDocDate,"&gt;="&amp;DATE(YEAR(K$4),MONTH(K$4),1),IncDocDate,"&lt;="&amp;K$4,IncAccount,LEFT($A46,5)&amp;"*")+SUMIFS(ExpExcl,ExpDocDate,"&gt;="&amp;DATE(YEAR(K$4),MONTH(K$4),1),ExpDocDate,"&lt;="&amp;K$4,ExpAccount,LEFT($A46,5)&amp;"*"),-SUMIFS(IncExcl,IncDocDate,"&gt;="&amp;DATE(YEAR(K$4),MONTH(K$4),1),IncDocDate,"&lt;="&amp;K$4,IncAccount,$A46)+SUMIFS(ExpExcl,ExpDocDate,"&gt;="&amp;DATE(YEAR(K$4),MONTH(K$4),1),ExpDocDate,"&lt;="&amp;K$4,ExpAccount,$A46))</f>
        <v>0</v>
      </c>
      <c r="L46" s="189" cm="1">
        <f t="array" aca="1" ref="L46" ca="1">IF(RIGHT($A46,1)="G",-SUMIFS(IncExcl,IncDocDate,"&gt;="&amp;DATE(YEAR(L$4),MONTH(L$4),1),IncDocDate,"&lt;="&amp;L$4,IncAccount,LEFT($A46,5)&amp;"*")+SUMIFS(ExpExcl,ExpDocDate,"&gt;="&amp;DATE(YEAR(L$4),MONTH(L$4),1),ExpDocDate,"&lt;="&amp;L$4,ExpAccount,LEFT($A46,5)&amp;"*"),-SUMIFS(IncExcl,IncDocDate,"&gt;="&amp;DATE(YEAR(L$4),MONTH(L$4),1),IncDocDate,"&lt;="&amp;L$4,IncAccount,$A46)+SUMIFS(ExpExcl,ExpDocDate,"&gt;="&amp;DATE(YEAR(L$4),MONTH(L$4),1),ExpDocDate,"&lt;="&amp;L$4,ExpAccount,$A46))</f>
        <v>0</v>
      </c>
      <c r="M46" s="189" cm="1">
        <f t="array" aca="1" ref="M46" ca="1">IF(RIGHT($A46,1)="G",-SUMIFS(IncExcl,IncDocDate,"&gt;="&amp;DATE(YEAR(M$4),MONTH(M$4),1),IncDocDate,"&lt;="&amp;M$4,IncAccount,LEFT($A46,5)&amp;"*")+SUMIFS(ExpExcl,ExpDocDate,"&gt;="&amp;DATE(YEAR(M$4),MONTH(M$4),1),ExpDocDate,"&lt;="&amp;M$4,ExpAccount,LEFT($A46,5)&amp;"*"),-SUMIFS(IncExcl,IncDocDate,"&gt;="&amp;DATE(YEAR(M$4),MONTH(M$4),1),IncDocDate,"&lt;="&amp;M$4,IncAccount,$A46)+SUMIFS(ExpExcl,ExpDocDate,"&gt;="&amp;DATE(YEAR(M$4),MONTH(M$4),1),ExpDocDate,"&lt;="&amp;M$4,ExpAccount,$A46))</f>
        <v>0</v>
      </c>
      <c r="N46" s="189" cm="1">
        <f t="array" aca="1" ref="N46" ca="1">IF(RIGHT($A46,1)="G",-SUMIFS(IncExcl,IncDocDate,"&gt;="&amp;DATE(YEAR(N$4),MONTH(N$4),1),IncDocDate,"&lt;="&amp;N$4,IncAccount,LEFT($A46,5)&amp;"*")+SUMIFS(ExpExcl,ExpDocDate,"&gt;="&amp;DATE(YEAR(N$4),MONTH(N$4),1),ExpDocDate,"&lt;="&amp;N$4,ExpAccount,LEFT($A46,5)&amp;"*"),-SUMIFS(IncExcl,IncDocDate,"&gt;="&amp;DATE(YEAR(N$4),MONTH(N$4),1),IncDocDate,"&lt;="&amp;N$4,IncAccount,$A46)+SUMIFS(ExpExcl,ExpDocDate,"&gt;="&amp;DATE(YEAR(N$4),MONTH(N$4),1),ExpDocDate,"&lt;="&amp;N$4,ExpAccount,$A46))</f>
        <v>0</v>
      </c>
      <c r="O46" s="176">
        <f ca="1">SUM(C46:N46)</f>
        <v>0</v>
      </c>
      <c r="P46" s="176" cm="1">
        <f t="array" aca="1" ref="P46" ca="1">IF(RIGHT($A46,1)="G",-SUMIFS(IncExcl,IncDocDate,"&gt;="&amp;$P$2,IncDocDate,"&lt;="&amp;$P$3,IncAccount,LEFT($A46,5)&amp;"*")+SUMIFS(ExpExcl,ExpDocDate,"&gt;="&amp;$P$2,ExpDocDate,"&lt;="&amp;$P$3,ExpAccount,LEFT($A46,5)&amp;"*"),-SUMIFS(IncExcl,IncDocDate,"&gt;="&amp;$P$2,IncDocDate,"&lt;="&amp;$P$3,IncAccount,$A46)+SUMIFS(ExpExcl,ExpDocDate,"&gt;="&amp;$P$2,ExpDocDate,"&lt;="&amp;$P$3,ExpAccount,$A46))</f>
        <v>0</v>
      </c>
    </row>
    <row r="47" spans="1:16" s="60" customFormat="1" ht="15.95" customHeight="1" x14ac:dyDescent="0.25">
      <c r="A47" s="278"/>
      <c r="B47" s="60" t="s">
        <v>271</v>
      </c>
      <c r="C47" s="190">
        <f ca="1">SUM(C45,-C46)</f>
        <v>81748790.214714944</v>
      </c>
      <c r="D47" s="190">
        <f t="shared" ref="D47:N47" ca="1" si="18">SUM(D45,-D46)</f>
        <v>10218310.423728812</v>
      </c>
      <c r="E47" s="190">
        <f t="shared" ca="1" si="18"/>
        <v>0</v>
      </c>
      <c r="F47" s="190">
        <f t="shared" ca="1" si="18"/>
        <v>0</v>
      </c>
      <c r="G47" s="190">
        <f t="shared" ca="1" si="18"/>
        <v>0</v>
      </c>
      <c r="H47" s="190">
        <f t="shared" ca="1" si="18"/>
        <v>0</v>
      </c>
      <c r="I47" s="190">
        <f t="shared" ca="1" si="18"/>
        <v>0</v>
      </c>
      <c r="J47" s="190">
        <f t="shared" ca="1" si="18"/>
        <v>0</v>
      </c>
      <c r="K47" s="190">
        <f t="shared" ca="1" si="18"/>
        <v>0</v>
      </c>
      <c r="L47" s="190">
        <f t="shared" ca="1" si="18"/>
        <v>0</v>
      </c>
      <c r="M47" s="190">
        <f t="shared" ca="1" si="18"/>
        <v>0</v>
      </c>
      <c r="N47" s="190">
        <f t="shared" ca="1" si="18"/>
        <v>0</v>
      </c>
      <c r="O47" s="190">
        <f t="shared" ref="O47" ca="1" si="19">SUM(O45,-O46)</f>
        <v>91967100.638443738</v>
      </c>
      <c r="P47" s="190">
        <f t="shared" ref="P47" ca="1" si="20">SUM(P45,-P46)</f>
        <v>16854490.568412945</v>
      </c>
    </row>
    <row r="48" spans="1:16" s="34" customFormat="1" ht="15.95" customHeight="1" x14ac:dyDescent="0.3">
      <c r="A48" s="279"/>
      <c r="B48" s="103"/>
      <c r="O48" s="188"/>
      <c r="P48" s="188"/>
    </row>
    <row r="49" spans="1:16" s="34" customFormat="1" ht="15.95" customHeight="1" x14ac:dyDescent="0.3">
      <c r="A49" s="279"/>
      <c r="B49" s="103"/>
      <c r="O49" s="188"/>
      <c r="P49" s="188"/>
    </row>
    <row r="50" spans="1:16" s="34" customFormat="1" ht="15.95" customHeight="1" x14ac:dyDescent="0.3">
      <c r="A50" s="279"/>
      <c r="B50" s="103"/>
      <c r="O50" s="188"/>
      <c r="P50" s="188"/>
    </row>
    <row r="51" spans="1:16" ht="15.95" customHeight="1" x14ac:dyDescent="0.3">
      <c r="F51" s="191"/>
    </row>
    <row r="52" spans="1:16" ht="15.95" customHeight="1" x14ac:dyDescent="0.3">
      <c r="F52" s="191"/>
    </row>
    <row r="53" spans="1:16" ht="15.95" customHeight="1" x14ac:dyDescent="0.3">
      <c r="F53" s="191"/>
    </row>
    <row r="54" spans="1:16" ht="15.95" customHeight="1" x14ac:dyDescent="0.3">
      <c r="F54" s="192"/>
    </row>
  </sheetData>
  <sheetProtection autoFilter="0"/>
  <phoneticPr fontId="2" type="noConversion"/>
  <pageMargins left="0.59055118110236227" right="0.59055118110236227" top="0.59055118110236227" bottom="0.59055118110236227" header="0.39370078740157483" footer="0.39370078740157483"/>
  <pageSetup paperSize="9" scale="55" orientation="landscape"/>
  <headerFooter alignWithMargins="0">
    <oddFooter>Page &amp;P of &amp;N</oddFooter>
  </headerFooter>
  <rowBreaks count="1" manualBreakCount="1">
    <brk id="47" max="16383" man="1"/>
  </rowBreaks>
  <ignoredErrors>
    <ignoredError sqref="C10:M10 C43:N43 O46:P46 O44:P44 C35:N35 C45:N45 O45:P45 O43:P43 O35:P35 N10:P10 C44:N44 C46:N46" formula="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O42"/>
  <sheetViews>
    <sheetView zoomScale="115" zoomScaleNormal="115" workbookViewId="0">
      <pane xSplit="2" ySplit="4" topLeftCell="C29" activePane="bottomRight" state="frozen"/>
      <selection pane="topRight" activeCell="C1" sqref="C1"/>
      <selection pane="bottomLeft" activeCell="A5" sqref="A5"/>
      <selection pane="bottomRight" activeCell="C39" sqref="C39"/>
    </sheetView>
  </sheetViews>
  <sheetFormatPr defaultColWidth="9.140625" defaultRowHeight="15.95" customHeight="1" x14ac:dyDescent="0.3"/>
  <cols>
    <col min="1" max="1" width="8.5703125" style="277" customWidth="1"/>
    <col min="2" max="2" width="44.140625" style="4" customWidth="1"/>
    <col min="3" max="3" width="15.5703125" style="34" bestFit="1" customWidth="1"/>
    <col min="4" max="5" width="14.5703125" style="34" customWidth="1"/>
    <col min="6" max="14" width="14.5703125" style="4" customWidth="1"/>
    <col min="15" max="15" width="15.5703125" style="3" customWidth="1"/>
    <col min="16" max="16384" width="9.140625" style="4"/>
  </cols>
  <sheetData>
    <row r="1" spans="1:15" ht="15.95" customHeight="1" x14ac:dyDescent="0.3">
      <c r="B1" s="274" t="str">
        <f>IF(ISBLANK(Setup!$C$5),"Example Limited",Setup!$C$5)</f>
        <v>Nasia Consult Co. Limited</v>
      </c>
      <c r="K1" s="5"/>
    </row>
    <row r="2" spans="1:15" ht="15.95" customHeight="1" x14ac:dyDescent="0.3">
      <c r="B2" s="28" t="s">
        <v>274</v>
      </c>
    </row>
    <row r="3" spans="1:15" ht="15.95" customHeight="1" x14ac:dyDescent="0.3">
      <c r="B3" s="7" t="s">
        <v>244</v>
      </c>
    </row>
    <row r="4" spans="1:15" s="187" customFormat="1" ht="18" customHeight="1" x14ac:dyDescent="0.25">
      <c r="A4" s="183" t="s">
        <v>251</v>
      </c>
      <c r="B4" s="183" t="s">
        <v>7</v>
      </c>
      <c r="C4" s="185">
        <f ca="1">DATE(YEAR(Setup!$D$18),MONTH(Setup!$D$18)+1,0)</f>
        <v>45322</v>
      </c>
      <c r="D4" s="185">
        <f t="shared" ref="D4:M4" ca="1" si="0">DATE(YEAR(C4),MONTH(C4)+2,0)</f>
        <v>45351</v>
      </c>
      <c r="E4" s="185">
        <f t="shared" ca="1" si="0"/>
        <v>45382</v>
      </c>
      <c r="F4" s="185">
        <f t="shared" ca="1" si="0"/>
        <v>45412</v>
      </c>
      <c r="G4" s="185">
        <f t="shared" ca="1" si="0"/>
        <v>45443</v>
      </c>
      <c r="H4" s="185">
        <f t="shared" ca="1" si="0"/>
        <v>45473</v>
      </c>
      <c r="I4" s="185">
        <f t="shared" ca="1" si="0"/>
        <v>45504</v>
      </c>
      <c r="J4" s="185">
        <f t="shared" ca="1" si="0"/>
        <v>45535</v>
      </c>
      <c r="K4" s="185">
        <f t="shared" ca="1" si="0"/>
        <v>45565</v>
      </c>
      <c r="L4" s="185">
        <f t="shared" ca="1" si="0"/>
        <v>45596</v>
      </c>
      <c r="M4" s="185">
        <f t="shared" ca="1" si="0"/>
        <v>45626</v>
      </c>
      <c r="N4" s="185">
        <f ca="1">DATE(YEAR(M4),MONTH(M4)+2,0)</f>
        <v>45657</v>
      </c>
      <c r="O4" s="193" t="str">
        <f ca="1">"Total "&amp;YEAR($N4)</f>
        <v>Total 2024</v>
      </c>
    </row>
    <row r="5" spans="1:15" s="3" customFormat="1" ht="15.95" customHeight="1" x14ac:dyDescent="0.25">
      <c r="A5" s="278"/>
      <c r="B5" s="3" t="s">
        <v>275</v>
      </c>
      <c r="C5" s="176"/>
      <c r="D5" s="176"/>
      <c r="E5" s="176"/>
      <c r="F5" s="176"/>
      <c r="G5" s="176"/>
      <c r="H5" s="176"/>
      <c r="I5" s="176"/>
      <c r="J5" s="176"/>
      <c r="K5" s="176"/>
      <c r="L5" s="176"/>
      <c r="M5" s="176"/>
      <c r="N5" s="176"/>
      <c r="O5" s="176"/>
    </row>
    <row r="6" spans="1:15" ht="15.95" customHeight="1" x14ac:dyDescent="0.3">
      <c r="B6" s="103" t="s">
        <v>268</v>
      </c>
      <c r="C6" s="189">
        <f ca="1">IS!C45</f>
        <v>81748790.214714944</v>
      </c>
      <c r="D6" s="189">
        <f ca="1">IS!D45</f>
        <v>10218310.423728812</v>
      </c>
      <c r="E6" s="189">
        <f ca="1">IS!E45</f>
        <v>0</v>
      </c>
      <c r="F6" s="189">
        <f ca="1">IS!F45</f>
        <v>0</v>
      </c>
      <c r="G6" s="189">
        <f ca="1">IS!G45</f>
        <v>0</v>
      </c>
      <c r="H6" s="189">
        <f ca="1">IS!H45</f>
        <v>0</v>
      </c>
      <c r="I6" s="189">
        <f ca="1">IS!I45</f>
        <v>0</v>
      </c>
      <c r="J6" s="189">
        <f ca="1">IS!J45</f>
        <v>0</v>
      </c>
      <c r="K6" s="189">
        <f ca="1">IS!K45</f>
        <v>0</v>
      </c>
      <c r="L6" s="189">
        <f ca="1">IS!L45</f>
        <v>0</v>
      </c>
      <c r="M6" s="189">
        <f ca="1">IS!M45</f>
        <v>0</v>
      </c>
      <c r="N6" s="189">
        <f ca="1">IS!N45</f>
        <v>0</v>
      </c>
      <c r="O6" s="176">
        <f ca="1">SUM(C6:N6)</f>
        <v>91967100.638443753</v>
      </c>
    </row>
    <row r="7" spans="1:15" ht="15.95" customHeight="1" x14ac:dyDescent="0.3">
      <c r="A7" s="277" t="s">
        <v>266</v>
      </c>
      <c r="B7" s="12" t="str">
        <f ca="1">IF(RIGHT($A7,1)="G",IF(ISNA(VLOOKUP(LEFT($A7,LEN($A7)-1),GroupAll,COLUMN(Groups!$B$4),0)),"Group Not Found",VLOOKUP(LEFT($A7,LEN($A7)-1),GroupAll,COLUMN(Groups!$B$4),0)),IF(ISNA(VLOOKUP($A7,AccountAll,COLUMN(TB!$B$4),0)),"Account Not Found",VLOOKUP($A7,AccountAll,COLUMN(TB!$B$4),0)))</f>
        <v>Interest Paid</v>
      </c>
      <c r="C7" s="189">
        <f t="shared" ref="C7:N8" ca="1" si="1">-SUMIFS(IncExcl,IncDocDate,"&gt;="&amp;DATE(YEAR(C$4),MONTH(C$4),1),IncDocDate,"&lt;="&amp;C$4,IncAccount,LEFT($A7,5)&amp;"*")+SUMIFS(ExpExcl,ExpDocDate,"&gt;="&amp;DATE(YEAR(C$4),MONTH(C$4),1),ExpDocDate,"&lt;="&amp;C$4,ExpAccount,LEFT($A7,5)&amp;"*")</f>
        <v>0</v>
      </c>
      <c r="D7" s="189">
        <f t="shared" ca="1" si="1"/>
        <v>0</v>
      </c>
      <c r="E7" s="189">
        <f t="shared" ca="1" si="1"/>
        <v>0</v>
      </c>
      <c r="F7" s="189">
        <f t="shared" ca="1" si="1"/>
        <v>0</v>
      </c>
      <c r="G7" s="189">
        <f t="shared" ca="1" si="1"/>
        <v>0</v>
      </c>
      <c r="H7" s="189">
        <f t="shared" ca="1" si="1"/>
        <v>0</v>
      </c>
      <c r="I7" s="189">
        <f t="shared" ca="1" si="1"/>
        <v>0</v>
      </c>
      <c r="J7" s="189">
        <f t="shared" ca="1" si="1"/>
        <v>0</v>
      </c>
      <c r="K7" s="189">
        <f t="shared" ca="1" si="1"/>
        <v>0</v>
      </c>
      <c r="L7" s="189">
        <f t="shared" ca="1" si="1"/>
        <v>0</v>
      </c>
      <c r="M7" s="189">
        <f t="shared" ca="1" si="1"/>
        <v>0</v>
      </c>
      <c r="N7" s="189">
        <f t="shared" ca="1" si="1"/>
        <v>0</v>
      </c>
      <c r="O7" s="176">
        <f t="shared" ref="O7:O8" ca="1" si="2">SUM(C7:N7)</f>
        <v>0</v>
      </c>
    </row>
    <row r="8" spans="1:15" ht="15.95" customHeight="1" x14ac:dyDescent="0.3">
      <c r="A8" s="277" t="s">
        <v>269</v>
      </c>
      <c r="B8" s="12" t="str">
        <f ca="1">IF(RIGHT($A8,1)="G",IF(ISNA(VLOOKUP(LEFT($A8,LEN($A8)-1),GroupAll,COLUMN(Groups!$B$4),0)),"Group Not Found",VLOOKUP(LEFT($A8,LEN($A8)-1),GroupAll,COLUMN(Groups!$B$4),0)),IF(ISNA(VLOOKUP($A8,AccountAll,COLUMN(TB!$B$4),0)),"Account Not Found",VLOOKUP($A8,AccountAll,COLUMN(TB!$B$4),0)))</f>
        <v>Taxation Paid</v>
      </c>
      <c r="C8" s="189">
        <f t="shared" ca="1" si="1"/>
        <v>0</v>
      </c>
      <c r="D8" s="189">
        <f t="shared" ca="1" si="1"/>
        <v>0</v>
      </c>
      <c r="E8" s="189">
        <f t="shared" ca="1" si="1"/>
        <v>0</v>
      </c>
      <c r="F8" s="189">
        <f t="shared" ca="1" si="1"/>
        <v>0</v>
      </c>
      <c r="G8" s="189">
        <f t="shared" ca="1" si="1"/>
        <v>0</v>
      </c>
      <c r="H8" s="189">
        <f t="shared" ca="1" si="1"/>
        <v>0</v>
      </c>
      <c r="I8" s="189">
        <f t="shared" ca="1" si="1"/>
        <v>0</v>
      </c>
      <c r="J8" s="189">
        <f t="shared" ca="1" si="1"/>
        <v>0</v>
      </c>
      <c r="K8" s="189">
        <f t="shared" ca="1" si="1"/>
        <v>0</v>
      </c>
      <c r="L8" s="189">
        <f t="shared" ca="1" si="1"/>
        <v>0</v>
      </c>
      <c r="M8" s="189">
        <f t="shared" ca="1" si="1"/>
        <v>0</v>
      </c>
      <c r="N8" s="189">
        <f t="shared" ca="1" si="1"/>
        <v>0</v>
      </c>
      <c r="O8" s="176">
        <f t="shared" ca="1" si="2"/>
        <v>0</v>
      </c>
    </row>
    <row r="9" spans="1:15" s="6" customFormat="1" ht="15.95" customHeight="1" x14ac:dyDescent="0.25">
      <c r="A9" s="280"/>
      <c r="B9" s="6" t="s">
        <v>276</v>
      </c>
      <c r="C9" s="194"/>
      <c r="D9" s="194"/>
      <c r="E9" s="194"/>
      <c r="F9" s="194"/>
      <c r="G9" s="194"/>
      <c r="H9" s="194"/>
      <c r="I9" s="194"/>
      <c r="J9" s="194"/>
      <c r="K9" s="194"/>
      <c r="L9" s="194"/>
      <c r="M9" s="194"/>
      <c r="N9" s="194"/>
      <c r="O9" s="195"/>
    </row>
    <row r="10" spans="1:15" ht="15.95" customHeight="1" x14ac:dyDescent="0.3">
      <c r="A10" s="277" t="s">
        <v>149</v>
      </c>
      <c r="B10" s="4" t="s">
        <v>48</v>
      </c>
      <c r="C10" s="189">
        <f t="shared" ref="C10:N12" ca="1" si="3">SUMIFS(IncExcl,IncDocDate,"&gt;="&amp;DATE(YEAR(C$4),MONTH(C$4),1),IncDocDate,"&lt;="&amp;C$4,IncAccount,LEFT($A10,5)&amp;"*")-SUMIFS(ExpExcl,ExpDocDate,"&gt;="&amp;DATE(YEAR(C$4),MONTH(C$4),1),ExpDocDate,"&lt;="&amp;C$4,ExpAccount,LEFT($A10,5)&amp;"*")</f>
        <v>0</v>
      </c>
      <c r="D10" s="189">
        <f t="shared" ca="1" si="3"/>
        <v>0</v>
      </c>
      <c r="E10" s="189">
        <f t="shared" ca="1" si="3"/>
        <v>0</v>
      </c>
      <c r="F10" s="189">
        <f t="shared" ca="1" si="3"/>
        <v>0</v>
      </c>
      <c r="G10" s="189">
        <f t="shared" ca="1" si="3"/>
        <v>0</v>
      </c>
      <c r="H10" s="189">
        <f t="shared" ca="1" si="3"/>
        <v>0</v>
      </c>
      <c r="I10" s="189">
        <f t="shared" ca="1" si="3"/>
        <v>0</v>
      </c>
      <c r="J10" s="189">
        <f t="shared" ca="1" si="3"/>
        <v>0</v>
      </c>
      <c r="K10" s="189">
        <f t="shared" ca="1" si="3"/>
        <v>0</v>
      </c>
      <c r="L10" s="189">
        <f t="shared" ca="1" si="3"/>
        <v>0</v>
      </c>
      <c r="M10" s="189">
        <f t="shared" ca="1" si="3"/>
        <v>0</v>
      </c>
      <c r="N10" s="189">
        <f t="shared" ca="1" si="3"/>
        <v>0</v>
      </c>
      <c r="O10" s="176">
        <f t="shared" ref="O10:O12" ca="1" si="4">SUM(C10:N10)</f>
        <v>0</v>
      </c>
    </row>
    <row r="11" spans="1:15" ht="15.95" customHeight="1" x14ac:dyDescent="0.3">
      <c r="A11" s="277" t="s">
        <v>158</v>
      </c>
      <c r="B11" s="4" t="s">
        <v>131</v>
      </c>
      <c r="C11" s="189">
        <f t="shared" ca="1" si="3"/>
        <v>0</v>
      </c>
      <c r="D11" s="189">
        <f t="shared" ca="1" si="3"/>
        <v>0</v>
      </c>
      <c r="E11" s="189">
        <f t="shared" ca="1" si="3"/>
        <v>0</v>
      </c>
      <c r="F11" s="189">
        <f t="shared" ca="1" si="3"/>
        <v>0</v>
      </c>
      <c r="G11" s="189">
        <f t="shared" ca="1" si="3"/>
        <v>0</v>
      </c>
      <c r="H11" s="189">
        <f t="shared" ca="1" si="3"/>
        <v>0</v>
      </c>
      <c r="I11" s="189">
        <f t="shared" ca="1" si="3"/>
        <v>0</v>
      </c>
      <c r="J11" s="189">
        <f t="shared" ca="1" si="3"/>
        <v>0</v>
      </c>
      <c r="K11" s="189">
        <f t="shared" ca="1" si="3"/>
        <v>0</v>
      </c>
      <c r="L11" s="189">
        <f t="shared" ca="1" si="3"/>
        <v>0</v>
      </c>
      <c r="M11" s="189">
        <f t="shared" ca="1" si="3"/>
        <v>0</v>
      </c>
      <c r="N11" s="189">
        <f t="shared" ca="1" si="3"/>
        <v>0</v>
      </c>
      <c r="O11" s="176">
        <f t="shared" ca="1" si="4"/>
        <v>0</v>
      </c>
    </row>
    <row r="12" spans="1:15" ht="15.95" customHeight="1" x14ac:dyDescent="0.3">
      <c r="A12" s="277" t="s">
        <v>297</v>
      </c>
      <c r="B12" s="12" t="str">
        <f ca="1">IF(RIGHT($A12,1)="G",IF(ISNA(VLOOKUP(LEFT($A12,LEN($A12)-1),GroupAll,COLUMN(Groups!$B$4),0)),"Group Not Found",VLOOKUP(LEFT($A12,LEN($A12)-1),GroupAll,COLUMN(Groups!$B$4),0)),IF(ISNA(VLOOKUP($A12,AccountAll,COLUMN(TB!$B$4),0)),"Account Not Found",VLOOKUP($A12,AccountAll,COLUMN(TB!$B$4),0)))</f>
        <v>Reserves</v>
      </c>
      <c r="C12" s="189">
        <f t="shared" ca="1" si="3"/>
        <v>0</v>
      </c>
      <c r="D12" s="189">
        <f t="shared" ca="1" si="3"/>
        <v>0</v>
      </c>
      <c r="E12" s="189">
        <f t="shared" ca="1" si="3"/>
        <v>0</v>
      </c>
      <c r="F12" s="189">
        <f t="shared" ca="1" si="3"/>
        <v>0</v>
      </c>
      <c r="G12" s="189">
        <f t="shared" ca="1" si="3"/>
        <v>0</v>
      </c>
      <c r="H12" s="189">
        <f t="shared" ca="1" si="3"/>
        <v>0</v>
      </c>
      <c r="I12" s="189">
        <f t="shared" ca="1" si="3"/>
        <v>0</v>
      </c>
      <c r="J12" s="189">
        <f t="shared" ca="1" si="3"/>
        <v>0</v>
      </c>
      <c r="K12" s="189">
        <f t="shared" ca="1" si="3"/>
        <v>0</v>
      </c>
      <c r="L12" s="189">
        <f t="shared" ca="1" si="3"/>
        <v>0</v>
      </c>
      <c r="M12" s="189">
        <f t="shared" ca="1" si="3"/>
        <v>0</v>
      </c>
      <c r="N12" s="189">
        <f t="shared" ca="1" si="3"/>
        <v>0</v>
      </c>
      <c r="O12" s="176">
        <f t="shared" ca="1" si="4"/>
        <v>0</v>
      </c>
    </row>
    <row r="13" spans="1:15" s="6" customFormat="1" ht="15.95" customHeight="1" x14ac:dyDescent="0.25">
      <c r="A13" s="280"/>
      <c r="B13" s="6" t="s">
        <v>277</v>
      </c>
      <c r="C13" s="194"/>
      <c r="D13" s="194"/>
      <c r="E13" s="194"/>
      <c r="F13" s="194"/>
      <c r="G13" s="194"/>
      <c r="H13" s="194"/>
      <c r="I13" s="194"/>
      <c r="J13" s="194"/>
      <c r="K13" s="194"/>
      <c r="L13" s="194"/>
      <c r="M13" s="194"/>
      <c r="N13" s="194"/>
      <c r="O13" s="195"/>
    </row>
    <row r="14" spans="1:15" ht="15.95" customHeight="1" x14ac:dyDescent="0.3">
      <c r="A14" s="281" t="s">
        <v>161</v>
      </c>
      <c r="B14" s="12" t="str">
        <f ca="1">IF(RIGHT($A14,1)="G",IF(ISNA(VLOOKUP(LEFT($A14,LEN($A14)-1),GroupAll,COLUMN(Groups!$B$4),0)),"Group Not Found",VLOOKUP(LEFT($A14,LEN($A14)-1),GroupAll,COLUMN(Groups!$B$4),0)),IF(ISNA(VLOOKUP($A14,AccountAll,COLUMN(TB!$B$4),0)),"Account Not Found",VLOOKUP($A14,AccountAll,COLUMN(TB!$B$4),0)))</f>
        <v>Trade Debtors</v>
      </c>
      <c r="C14" s="189">
        <f ca="1">BS!C14-BS!D14</f>
        <v>-89000496.5</v>
      </c>
      <c r="D14" s="189">
        <f ca="1">BS!D14-BS!E14</f>
        <v>-4204847.1000000089</v>
      </c>
      <c r="E14" s="189">
        <f ca="1">BS!E14-BS!F14</f>
        <v>0</v>
      </c>
      <c r="F14" s="189">
        <f ca="1">BS!F14-BS!G14</f>
        <v>0</v>
      </c>
      <c r="G14" s="189">
        <f ca="1">BS!G14-BS!H14</f>
        <v>0</v>
      </c>
      <c r="H14" s="189">
        <f ca="1">BS!H14-BS!I14</f>
        <v>0</v>
      </c>
      <c r="I14" s="189">
        <f ca="1">BS!I14-BS!J14</f>
        <v>0</v>
      </c>
      <c r="J14" s="189">
        <f ca="1">BS!J14-BS!K14</f>
        <v>0</v>
      </c>
      <c r="K14" s="189">
        <f ca="1">BS!K14-BS!L14</f>
        <v>0</v>
      </c>
      <c r="L14" s="189">
        <f ca="1">BS!L14-BS!M14</f>
        <v>0</v>
      </c>
      <c r="M14" s="189">
        <f ca="1">BS!M14-BS!N14</f>
        <v>0</v>
      </c>
      <c r="N14" s="189">
        <f ca="1">BS!N14-BS!O14</f>
        <v>0</v>
      </c>
      <c r="O14" s="176">
        <f t="shared" ref="O14:O24" ca="1" si="5">SUM(C14:N14)</f>
        <v>-93205343.600000009</v>
      </c>
    </row>
    <row r="15" spans="1:15" ht="15.95" customHeight="1" x14ac:dyDescent="0.3">
      <c r="A15" s="277" t="s">
        <v>162</v>
      </c>
      <c r="B15" s="12" t="str">
        <f ca="1">IF(RIGHT($A15,1)="G",IF(ISNA(VLOOKUP(LEFT($A15,LEN($A15)-1),GroupAll,COLUMN(Groups!$B$4),0)),"Group Not Found",VLOOKUP(LEFT($A15,LEN($A15)-1),GroupAll,COLUMN(Groups!$B$4),0)),IF(ISNA(VLOOKUP($A15,AccountAll,COLUMN(TB!$B$4),0)),"Account Not Found",VLOOKUP($A15,AccountAll,COLUMN(TB!$B$4),0)))</f>
        <v>Loans &amp; Advances</v>
      </c>
      <c r="C15" s="189">
        <f t="shared" ref="C15:N17" ca="1" si="6">SUMIFS(IncExcl,IncDocDate,"&gt;="&amp;DATE(YEAR(C$4),MONTH(C$4),1),IncDocDate,"&lt;="&amp;C$4,IncAccount,LEFT($A15,5)&amp;"*")-SUMIFS(ExpExcl,ExpDocDate,"&gt;="&amp;DATE(YEAR(C$4),MONTH(C$4),1),ExpDocDate,"&lt;="&amp;C$4,ExpAccount,LEFT($A15,5)&amp;"*")</f>
        <v>0</v>
      </c>
      <c r="D15" s="189">
        <f t="shared" ca="1" si="6"/>
        <v>0</v>
      </c>
      <c r="E15" s="189">
        <f t="shared" ca="1" si="6"/>
        <v>0</v>
      </c>
      <c r="F15" s="189">
        <f t="shared" ca="1" si="6"/>
        <v>0</v>
      </c>
      <c r="G15" s="189">
        <f t="shared" ca="1" si="6"/>
        <v>0</v>
      </c>
      <c r="H15" s="189">
        <f t="shared" ca="1" si="6"/>
        <v>0</v>
      </c>
      <c r="I15" s="189">
        <f t="shared" ca="1" si="6"/>
        <v>0</v>
      </c>
      <c r="J15" s="189">
        <f t="shared" ca="1" si="6"/>
        <v>0</v>
      </c>
      <c r="K15" s="189">
        <f t="shared" ca="1" si="6"/>
        <v>0</v>
      </c>
      <c r="L15" s="189">
        <f t="shared" ca="1" si="6"/>
        <v>0</v>
      </c>
      <c r="M15" s="189">
        <f t="shared" ca="1" si="6"/>
        <v>0</v>
      </c>
      <c r="N15" s="189">
        <f t="shared" ca="1" si="6"/>
        <v>0</v>
      </c>
      <c r="O15" s="176">
        <f t="shared" ca="1" si="5"/>
        <v>0</v>
      </c>
    </row>
    <row r="16" spans="1:15" ht="15.95" customHeight="1" x14ac:dyDescent="0.3">
      <c r="A16" s="277" t="s">
        <v>165</v>
      </c>
      <c r="B16" s="12" t="str">
        <f ca="1">IF(RIGHT($A16,1)="G",IF(ISNA(VLOOKUP(LEFT($A16,LEN($A16)-1),GroupAll,COLUMN(Groups!$B$4),0)),"Group Not Found",VLOOKUP(LEFT($A16,LEN($A16)-1),GroupAll,COLUMN(Groups!$B$4),0)),IF(ISNA(VLOOKUP($A16,AccountAll,COLUMN(TB!$B$4),0)),"Account Not Found",VLOOKUP($A16,AccountAll,COLUMN(TB!$B$4),0)))</f>
        <v>Other Debtors</v>
      </c>
      <c r="C16" s="189">
        <f t="shared" ca="1" si="6"/>
        <v>0</v>
      </c>
      <c r="D16" s="189">
        <f t="shared" ca="1" si="6"/>
        <v>0</v>
      </c>
      <c r="E16" s="189">
        <f t="shared" ca="1" si="6"/>
        <v>0</v>
      </c>
      <c r="F16" s="189">
        <f t="shared" ca="1" si="6"/>
        <v>0</v>
      </c>
      <c r="G16" s="189">
        <f t="shared" ca="1" si="6"/>
        <v>0</v>
      </c>
      <c r="H16" s="189">
        <f t="shared" ca="1" si="6"/>
        <v>0</v>
      </c>
      <c r="I16" s="189">
        <f t="shared" ca="1" si="6"/>
        <v>0</v>
      </c>
      <c r="J16" s="189">
        <f t="shared" ca="1" si="6"/>
        <v>0</v>
      </c>
      <c r="K16" s="189">
        <f t="shared" ca="1" si="6"/>
        <v>0</v>
      </c>
      <c r="L16" s="189">
        <f t="shared" ca="1" si="6"/>
        <v>0</v>
      </c>
      <c r="M16" s="189">
        <f t="shared" ca="1" si="6"/>
        <v>0</v>
      </c>
      <c r="N16" s="189">
        <f t="shared" ca="1" si="6"/>
        <v>0</v>
      </c>
      <c r="O16" s="176">
        <f t="shared" ca="1" si="5"/>
        <v>0</v>
      </c>
    </row>
    <row r="17" spans="1:15" ht="15.95" customHeight="1" x14ac:dyDescent="0.3">
      <c r="A17" s="277" t="s">
        <v>170</v>
      </c>
      <c r="B17" s="12" t="str">
        <f ca="1">IF(RIGHT($A17,1)="G",IF(ISNA(VLOOKUP(LEFT($A17,LEN($A17)-1),GroupAll,COLUMN(Groups!$B$4),0)),"Group Not Found",VLOOKUP(LEFT($A17,LEN($A17)-1),GroupAll,COLUMN(Groups!$B$4),0)),IF(ISNA(VLOOKUP($A17,AccountAll,COLUMN(TB!$B$4),0)),"Account Not Found",VLOOKUP($A17,AccountAll,COLUMN(TB!$B$4),0)))</f>
        <v>Cash On Hand</v>
      </c>
      <c r="C17" s="189">
        <f t="shared" ca="1" si="6"/>
        <v>0</v>
      </c>
      <c r="D17" s="189">
        <f t="shared" ca="1" si="6"/>
        <v>0</v>
      </c>
      <c r="E17" s="189">
        <f t="shared" ca="1" si="6"/>
        <v>0</v>
      </c>
      <c r="F17" s="189">
        <f t="shared" ca="1" si="6"/>
        <v>0</v>
      </c>
      <c r="G17" s="189">
        <f t="shared" ca="1" si="6"/>
        <v>0</v>
      </c>
      <c r="H17" s="189">
        <f t="shared" ca="1" si="6"/>
        <v>0</v>
      </c>
      <c r="I17" s="189">
        <f t="shared" ca="1" si="6"/>
        <v>0</v>
      </c>
      <c r="J17" s="189">
        <f t="shared" ca="1" si="6"/>
        <v>0</v>
      </c>
      <c r="K17" s="189">
        <f t="shared" ca="1" si="6"/>
        <v>0</v>
      </c>
      <c r="L17" s="189">
        <f t="shared" ca="1" si="6"/>
        <v>0</v>
      </c>
      <c r="M17" s="189">
        <f t="shared" ca="1" si="6"/>
        <v>0</v>
      </c>
      <c r="N17" s="189">
        <f t="shared" ca="1" si="6"/>
        <v>0</v>
      </c>
      <c r="O17" s="176">
        <f t="shared" ca="1" si="5"/>
        <v>0</v>
      </c>
    </row>
    <row r="18" spans="1:15" ht="15.95" customHeight="1" x14ac:dyDescent="0.3">
      <c r="A18" s="281" t="s">
        <v>166</v>
      </c>
      <c r="B18" s="12" t="str">
        <f ca="1">IF(RIGHT($A18,1)="G",IF(ISNA(VLOOKUP(LEFT($A18,LEN($A18)-1),GroupAll,COLUMN(Groups!$B$4),0)),"Group Not Found",VLOOKUP(LEFT($A18,LEN($A18)-1),GroupAll,COLUMN(Groups!$B$4),0)),IF(ISNA(VLOOKUP($A18,AccountAll,COLUMN(TB!$B$4),0)),"Account Not Found",VLOOKUP($A18,AccountAll,COLUMN(TB!$B$4),0)))</f>
        <v>Trade Creditors</v>
      </c>
      <c r="C18" s="189">
        <f ca="1">BS!D49-BS!C49</f>
        <v>0</v>
      </c>
      <c r="D18" s="189">
        <f ca="1">BS!E49-BS!D49</f>
        <v>0</v>
      </c>
      <c r="E18" s="189">
        <f ca="1">BS!F49-BS!E49</f>
        <v>0</v>
      </c>
      <c r="F18" s="189">
        <f ca="1">BS!G49-BS!F49</f>
        <v>0</v>
      </c>
      <c r="G18" s="189">
        <f ca="1">BS!H49-BS!G49</f>
        <v>0</v>
      </c>
      <c r="H18" s="189">
        <f ca="1">BS!I49-BS!H49</f>
        <v>0</v>
      </c>
      <c r="I18" s="189">
        <f ca="1">BS!J49-BS!I49</f>
        <v>0</v>
      </c>
      <c r="J18" s="189">
        <f ca="1">BS!K49-BS!J49</f>
        <v>0</v>
      </c>
      <c r="K18" s="189">
        <f ca="1">BS!L49-BS!K49</f>
        <v>0</v>
      </c>
      <c r="L18" s="189">
        <f ca="1">BS!M49-BS!L49</f>
        <v>0</v>
      </c>
      <c r="M18" s="189">
        <f ca="1">BS!N49-BS!M49</f>
        <v>0</v>
      </c>
      <c r="N18" s="189">
        <f ca="1">BS!O49-BS!N49</f>
        <v>0</v>
      </c>
      <c r="O18" s="176">
        <f t="shared" ca="1" si="5"/>
        <v>0</v>
      </c>
    </row>
    <row r="19" spans="1:15" ht="15.95" customHeight="1" x14ac:dyDescent="0.3">
      <c r="A19" s="281" t="s">
        <v>179</v>
      </c>
      <c r="B19" s="12" t="str">
        <f ca="1">IF(RIGHT($A19,1)="G",IF(ISNA(VLOOKUP(LEFT($A19,LEN($A19)-1),GroupAll,COLUMN(Groups!$B$4),0)),"Group Not Found",VLOOKUP(LEFT($A19,LEN($A19)-1),GroupAll,COLUMN(Groups!$B$4),0)),IF(ISNA(VLOOKUP($A19,AccountAll,COLUMN(TB!$B$4),0)),"Account Not Found",VLOOKUP($A19,AccountAll,COLUMN(TB!$B$4),0)))</f>
        <v>Sales Tax</v>
      </c>
      <c r="C19" s="189">
        <f ca="1">BS!D51-BS!C51+BS!D52-BS!C52</f>
        <v>15238953.365285056</v>
      </c>
      <c r="D19" s="189">
        <f ca="1">BS!E51-BS!D51+BS!E52-BS!D52</f>
        <v>1839295.8762711864</v>
      </c>
      <c r="E19" s="189">
        <f ca="1">BS!F51-BS!E51+BS!F52-BS!E52</f>
        <v>0</v>
      </c>
      <c r="F19" s="189">
        <f ca="1">BS!G51-BS!F51+BS!G52-BS!F52</f>
        <v>0</v>
      </c>
      <c r="G19" s="189">
        <f ca="1">BS!H51-BS!G51+BS!H52-BS!G52</f>
        <v>0</v>
      </c>
      <c r="H19" s="189">
        <f ca="1">BS!I51-BS!H51+BS!I52-BS!H52</f>
        <v>0</v>
      </c>
      <c r="I19" s="189">
        <f ca="1">BS!J51-BS!I51+BS!J52-BS!I52</f>
        <v>0</v>
      </c>
      <c r="J19" s="189">
        <f ca="1">BS!K51-BS!J51+BS!K52-BS!J52</f>
        <v>0</v>
      </c>
      <c r="K19" s="189">
        <f ca="1">BS!L51-BS!K51+BS!L52-BS!K52</f>
        <v>0</v>
      </c>
      <c r="L19" s="189">
        <f ca="1">BS!M51-BS!L51+BS!M52-BS!L52</f>
        <v>0</v>
      </c>
      <c r="M19" s="189">
        <f ca="1">BS!N51-BS!M51+BS!N52-BS!M52</f>
        <v>0</v>
      </c>
      <c r="N19" s="189">
        <f ca="1">BS!O51-BS!N51+BS!O52-BS!N52</f>
        <v>0</v>
      </c>
      <c r="O19" s="176">
        <f t="shared" ca="1" si="5"/>
        <v>17078249.241556242</v>
      </c>
    </row>
    <row r="20" spans="1:15" ht="15.95" customHeight="1" x14ac:dyDescent="0.3">
      <c r="A20" s="277" t="s">
        <v>174</v>
      </c>
      <c r="B20" s="12" t="str">
        <f ca="1">IF(RIGHT($A20,1)="G",IF(ISNA(VLOOKUP(LEFT($A20,LEN($A20)-1),GroupAll,COLUMN(Groups!$B$4),0)),"Group Not Found",VLOOKUP(LEFT($A20,LEN($A20)-1),GroupAll,COLUMN(Groups!$B$4),0)),IF(ISNA(VLOOKUP($A20,AccountAll,COLUMN(TB!$B$4),0)),"Account Not Found",VLOOKUP($A20,AccountAll,COLUMN(TB!$B$4),0)))</f>
        <v>Accruals</v>
      </c>
      <c r="C20" s="189">
        <f t="shared" ref="C20:N21" ca="1" si="7">SUMIFS(IncExcl,IncDocDate,"&gt;="&amp;DATE(YEAR(C$4),MONTH(C$4),1),IncDocDate,"&lt;="&amp;C$4,IncAccount,LEFT($A20,5)&amp;"*")-SUMIFS(ExpExcl,ExpDocDate,"&gt;="&amp;DATE(YEAR(C$4),MONTH(C$4),1),ExpDocDate,"&lt;="&amp;C$4,ExpAccount,LEFT($A20,5)&amp;"*")</f>
        <v>0</v>
      </c>
      <c r="D20" s="189">
        <f t="shared" ca="1" si="7"/>
        <v>0</v>
      </c>
      <c r="E20" s="189">
        <f t="shared" ca="1" si="7"/>
        <v>0</v>
      </c>
      <c r="F20" s="189">
        <f t="shared" ca="1" si="7"/>
        <v>0</v>
      </c>
      <c r="G20" s="189">
        <f t="shared" ca="1" si="7"/>
        <v>0</v>
      </c>
      <c r="H20" s="189">
        <f t="shared" ca="1" si="7"/>
        <v>0</v>
      </c>
      <c r="I20" s="189">
        <f t="shared" ca="1" si="7"/>
        <v>0</v>
      </c>
      <c r="J20" s="189">
        <f t="shared" ca="1" si="7"/>
        <v>0</v>
      </c>
      <c r="K20" s="189">
        <f t="shared" ca="1" si="7"/>
        <v>0</v>
      </c>
      <c r="L20" s="189">
        <f t="shared" ca="1" si="7"/>
        <v>0</v>
      </c>
      <c r="M20" s="189">
        <f t="shared" ca="1" si="7"/>
        <v>0</v>
      </c>
      <c r="N20" s="189">
        <f t="shared" ca="1" si="7"/>
        <v>0</v>
      </c>
      <c r="O20" s="176">
        <f t="shared" ca="1" si="5"/>
        <v>0</v>
      </c>
    </row>
    <row r="21" spans="1:15" ht="15.95" customHeight="1" x14ac:dyDescent="0.3">
      <c r="A21" s="277" t="s">
        <v>182</v>
      </c>
      <c r="B21" s="12" t="str">
        <f ca="1">IF(RIGHT($A21,1)="G",IF(ISNA(VLOOKUP(LEFT($A21,LEN($A21)-1),GroupAll,COLUMN(Groups!$B$4),0)),"Group Not Found",VLOOKUP(LEFT($A21,LEN($A21)-1),GroupAll,COLUMN(Groups!$B$4),0)),IF(ISNA(VLOOKUP($A21,AccountAll,COLUMN(TB!$B$4),0)),"Account Not Found",VLOOKUP($A21,AccountAll,COLUMN(TB!$B$4),0)))</f>
        <v>Other Provisions</v>
      </c>
      <c r="C21" s="189">
        <f t="shared" ca="1" si="7"/>
        <v>0</v>
      </c>
      <c r="D21" s="189">
        <f t="shared" ca="1" si="7"/>
        <v>0</v>
      </c>
      <c r="E21" s="189">
        <f t="shared" ca="1" si="7"/>
        <v>0</v>
      </c>
      <c r="F21" s="189">
        <f t="shared" ca="1" si="7"/>
        <v>0</v>
      </c>
      <c r="G21" s="189">
        <f t="shared" ca="1" si="7"/>
        <v>0</v>
      </c>
      <c r="H21" s="189">
        <f t="shared" ca="1" si="7"/>
        <v>0</v>
      </c>
      <c r="I21" s="189">
        <f t="shared" ca="1" si="7"/>
        <v>0</v>
      </c>
      <c r="J21" s="189">
        <f t="shared" ca="1" si="7"/>
        <v>0</v>
      </c>
      <c r="K21" s="189">
        <f t="shared" ca="1" si="7"/>
        <v>0</v>
      </c>
      <c r="L21" s="189">
        <f t="shared" ca="1" si="7"/>
        <v>0</v>
      </c>
      <c r="M21" s="189">
        <f t="shared" ca="1" si="7"/>
        <v>0</v>
      </c>
      <c r="N21" s="189">
        <f t="shared" ca="1" si="7"/>
        <v>0</v>
      </c>
      <c r="O21" s="176">
        <f t="shared" ca="1" si="5"/>
        <v>0</v>
      </c>
    </row>
    <row r="22" spans="1:15" s="6" customFormat="1" ht="15.95" customHeight="1" x14ac:dyDescent="0.25">
      <c r="A22" s="280"/>
      <c r="B22" s="6" t="s">
        <v>279</v>
      </c>
      <c r="C22" s="196">
        <f t="shared" ref="C22:O22" ca="1" si="8">SUM(C6:C21)</f>
        <v>7987247.0800000001</v>
      </c>
      <c r="D22" s="196">
        <f t="shared" ca="1" si="8"/>
        <v>7852759.1999999899</v>
      </c>
      <c r="E22" s="196">
        <f t="shared" ca="1" si="8"/>
        <v>0</v>
      </c>
      <c r="F22" s="196">
        <f t="shared" ca="1" si="8"/>
        <v>0</v>
      </c>
      <c r="G22" s="196">
        <f t="shared" ca="1" si="8"/>
        <v>0</v>
      </c>
      <c r="H22" s="196">
        <f t="shared" ca="1" si="8"/>
        <v>0</v>
      </c>
      <c r="I22" s="196">
        <f t="shared" ca="1" si="8"/>
        <v>0</v>
      </c>
      <c r="J22" s="196">
        <f t="shared" ca="1" si="8"/>
        <v>0</v>
      </c>
      <c r="K22" s="196">
        <f t="shared" ca="1" si="8"/>
        <v>0</v>
      </c>
      <c r="L22" s="196">
        <f t="shared" ca="1" si="8"/>
        <v>0</v>
      </c>
      <c r="M22" s="196">
        <f t="shared" ca="1" si="8"/>
        <v>0</v>
      </c>
      <c r="N22" s="196">
        <f t="shared" ca="1" si="8"/>
        <v>0</v>
      </c>
      <c r="O22" s="197">
        <f t="shared" ca="1" si="8"/>
        <v>15840006.279999986</v>
      </c>
    </row>
    <row r="23" spans="1:15" ht="15.95" customHeight="1" x14ac:dyDescent="0.3">
      <c r="B23" s="4" t="s">
        <v>29</v>
      </c>
      <c r="C23" s="189">
        <f t="shared" ref="C23:N23" ca="1" si="9">-C7</f>
        <v>0</v>
      </c>
      <c r="D23" s="189">
        <f t="shared" ca="1" si="9"/>
        <v>0</v>
      </c>
      <c r="E23" s="189">
        <f t="shared" ca="1" si="9"/>
        <v>0</v>
      </c>
      <c r="F23" s="189">
        <f t="shared" ca="1" si="9"/>
        <v>0</v>
      </c>
      <c r="G23" s="189">
        <f t="shared" ca="1" si="9"/>
        <v>0</v>
      </c>
      <c r="H23" s="189">
        <f t="shared" ca="1" si="9"/>
        <v>0</v>
      </c>
      <c r="I23" s="189">
        <f t="shared" ca="1" si="9"/>
        <v>0</v>
      </c>
      <c r="J23" s="189">
        <f t="shared" ca="1" si="9"/>
        <v>0</v>
      </c>
      <c r="K23" s="189">
        <f t="shared" ca="1" si="9"/>
        <v>0</v>
      </c>
      <c r="L23" s="189">
        <f t="shared" ca="1" si="9"/>
        <v>0</v>
      </c>
      <c r="M23" s="189">
        <f t="shared" ca="1" si="9"/>
        <v>0</v>
      </c>
      <c r="N23" s="189">
        <f t="shared" ca="1" si="9"/>
        <v>0</v>
      </c>
      <c r="O23" s="176">
        <f t="shared" ca="1" si="5"/>
        <v>0</v>
      </c>
    </row>
    <row r="24" spans="1:15" ht="15.95" customHeight="1" x14ac:dyDescent="0.3">
      <c r="A24" s="281" t="s">
        <v>177</v>
      </c>
      <c r="B24" s="4" t="s">
        <v>233</v>
      </c>
      <c r="C24" s="189">
        <f t="shared" ref="C24:N24" ca="1" si="10">SUMIFS(IncExcl,IncDocDate,"&gt;="&amp;DATE(YEAR(C$4),MONTH(C$4),1),IncDocDate,"&lt;="&amp;C$4,IncAccount,LEFT($A24,5)&amp;"*")-SUMIFS(ExpExcl,ExpDocDate,"&gt;="&amp;DATE(YEAR(C$4),MONTH(C$4),1),ExpDocDate,"&lt;="&amp;C$4,ExpAccount,LEFT($A24,5)&amp;"*")-C8</f>
        <v>0</v>
      </c>
      <c r="D24" s="189">
        <f t="shared" ca="1" si="10"/>
        <v>0</v>
      </c>
      <c r="E24" s="189">
        <f t="shared" ca="1" si="10"/>
        <v>0</v>
      </c>
      <c r="F24" s="189">
        <f t="shared" ca="1" si="10"/>
        <v>0</v>
      </c>
      <c r="G24" s="189">
        <f t="shared" ca="1" si="10"/>
        <v>0</v>
      </c>
      <c r="H24" s="189">
        <f t="shared" ca="1" si="10"/>
        <v>0</v>
      </c>
      <c r="I24" s="189">
        <f t="shared" ca="1" si="10"/>
        <v>0</v>
      </c>
      <c r="J24" s="189">
        <f t="shared" ca="1" si="10"/>
        <v>0</v>
      </c>
      <c r="K24" s="189">
        <f t="shared" ca="1" si="10"/>
        <v>0</v>
      </c>
      <c r="L24" s="189">
        <f t="shared" ca="1" si="10"/>
        <v>0</v>
      </c>
      <c r="M24" s="189">
        <f t="shared" ca="1" si="10"/>
        <v>0</v>
      </c>
      <c r="N24" s="189">
        <f t="shared" ca="1" si="10"/>
        <v>0</v>
      </c>
      <c r="O24" s="176">
        <f t="shared" ca="1" si="5"/>
        <v>0</v>
      </c>
    </row>
    <row r="25" spans="1:15" ht="15.95" customHeight="1" thickBot="1" x14ac:dyDescent="0.35">
      <c r="B25" s="6" t="s">
        <v>280</v>
      </c>
      <c r="C25" s="198">
        <f ca="1">SUM(C22:C24)</f>
        <v>7987247.0800000001</v>
      </c>
      <c r="D25" s="198">
        <f t="shared" ref="D25:O25" ca="1" si="11">SUM(D22:D24)</f>
        <v>7852759.1999999899</v>
      </c>
      <c r="E25" s="198">
        <f t="shared" ca="1" si="11"/>
        <v>0</v>
      </c>
      <c r="F25" s="198">
        <f t="shared" ca="1" si="11"/>
        <v>0</v>
      </c>
      <c r="G25" s="198">
        <f t="shared" ca="1" si="11"/>
        <v>0</v>
      </c>
      <c r="H25" s="198">
        <f t="shared" ca="1" si="11"/>
        <v>0</v>
      </c>
      <c r="I25" s="198">
        <f t="shared" ca="1" si="11"/>
        <v>0</v>
      </c>
      <c r="J25" s="198">
        <f t="shared" ca="1" si="11"/>
        <v>0</v>
      </c>
      <c r="K25" s="198">
        <f t="shared" ca="1" si="11"/>
        <v>0</v>
      </c>
      <c r="L25" s="198">
        <f t="shared" ca="1" si="11"/>
        <v>0</v>
      </c>
      <c r="M25" s="198">
        <f t="shared" ca="1" si="11"/>
        <v>0</v>
      </c>
      <c r="N25" s="198">
        <f t="shared" ca="1" si="11"/>
        <v>0</v>
      </c>
      <c r="O25" s="133">
        <f t="shared" ca="1" si="11"/>
        <v>15840006.279999986</v>
      </c>
    </row>
    <row r="26" spans="1:15" s="3" customFormat="1" ht="15.95" customHeight="1" x14ac:dyDescent="0.25">
      <c r="A26" s="278"/>
      <c r="B26" s="3" t="s">
        <v>281</v>
      </c>
      <c r="C26" s="176"/>
      <c r="D26" s="176"/>
      <c r="E26" s="176"/>
      <c r="F26" s="176"/>
      <c r="G26" s="176"/>
      <c r="H26" s="176"/>
      <c r="I26" s="176"/>
      <c r="J26" s="176"/>
      <c r="K26" s="176"/>
      <c r="L26" s="176"/>
      <c r="M26" s="176"/>
      <c r="N26" s="176"/>
      <c r="O26" s="176"/>
    </row>
    <row r="27" spans="1:15" ht="15.95" customHeight="1" x14ac:dyDescent="0.3">
      <c r="A27" s="277" t="s">
        <v>148</v>
      </c>
      <c r="B27" s="12" t="str">
        <f ca="1">IF(RIGHT($A27,1)="G",IF(ISNA(VLOOKUP(LEFT($A27,LEN($A27)-1),GroupAll,COLUMN(Groups!$B$4),0)),"Group Not Found",VLOOKUP(LEFT($A27,LEN($A27)-1),GroupAll,COLUMN(Groups!$B$4),0)),IF(ISNA(VLOOKUP($A27,AccountAll,COLUMN(TB!$B$4),0)),"Account Not Found",VLOOKUP($A27,AccountAll,COLUMN(TB!$B$4),0)))</f>
        <v>Property, Plant &amp; Equipment - Cost</v>
      </c>
      <c r="C27" s="189">
        <f t="shared" ref="C27:N29" ca="1" si="12">SUMIFS(IncExcl,IncDocDate,"&gt;="&amp;DATE(YEAR(C$4),MONTH(C$4),1),IncDocDate,"&lt;="&amp;C$4,IncAccount,LEFT($A27,5)&amp;"*")-SUMIFS(ExpExcl,ExpDocDate,"&gt;="&amp;DATE(YEAR(C$4),MONTH(C$4),1),ExpDocDate,"&lt;="&amp;C$4,ExpAccount,LEFT($A27,5)&amp;"*")</f>
        <v>0</v>
      </c>
      <c r="D27" s="189">
        <f t="shared" ca="1" si="12"/>
        <v>0</v>
      </c>
      <c r="E27" s="189">
        <f t="shared" ca="1" si="12"/>
        <v>0</v>
      </c>
      <c r="F27" s="189">
        <f t="shared" ca="1" si="12"/>
        <v>0</v>
      </c>
      <c r="G27" s="189">
        <f t="shared" ca="1" si="12"/>
        <v>0</v>
      </c>
      <c r="H27" s="189">
        <f t="shared" ca="1" si="12"/>
        <v>0</v>
      </c>
      <c r="I27" s="189">
        <f t="shared" ca="1" si="12"/>
        <v>0</v>
      </c>
      <c r="J27" s="189">
        <f t="shared" ca="1" si="12"/>
        <v>0</v>
      </c>
      <c r="K27" s="189">
        <f t="shared" ca="1" si="12"/>
        <v>0</v>
      </c>
      <c r="L27" s="189">
        <f t="shared" ca="1" si="12"/>
        <v>0</v>
      </c>
      <c r="M27" s="189">
        <f t="shared" ca="1" si="12"/>
        <v>0</v>
      </c>
      <c r="N27" s="189">
        <f t="shared" ca="1" si="12"/>
        <v>0</v>
      </c>
      <c r="O27" s="176">
        <f t="shared" ref="O27:O29" ca="1" si="13">SUM(C27:N27)</f>
        <v>0</v>
      </c>
    </row>
    <row r="28" spans="1:15" s="3" customFormat="1" ht="15.95" customHeight="1" x14ac:dyDescent="0.3">
      <c r="A28" s="277" t="s">
        <v>160</v>
      </c>
      <c r="B28" s="12" t="str">
        <f ca="1">IF(RIGHT($A28,1)="G",IF(ISNA(VLOOKUP(LEFT($A28,LEN($A28)-1),GroupAll,COLUMN(Groups!$B$4),0)),"Group Not Found",VLOOKUP(LEFT($A28,LEN($A28)-1),GroupAll,COLUMN(Groups!$B$4),0)),IF(ISNA(VLOOKUP($A28,AccountAll,COLUMN(TB!$B$4),0)),"Account Not Found",VLOOKUP($A28,AccountAll,COLUMN(TB!$B$4),0)))</f>
        <v>Intangible Assets - Cost</v>
      </c>
      <c r="C28" s="189">
        <f t="shared" ca="1" si="12"/>
        <v>0</v>
      </c>
      <c r="D28" s="189">
        <f t="shared" ca="1" si="12"/>
        <v>0</v>
      </c>
      <c r="E28" s="189">
        <f t="shared" ca="1" si="12"/>
        <v>0</v>
      </c>
      <c r="F28" s="189">
        <f t="shared" ca="1" si="12"/>
        <v>0</v>
      </c>
      <c r="G28" s="189">
        <f t="shared" ca="1" si="12"/>
        <v>0</v>
      </c>
      <c r="H28" s="189">
        <f t="shared" ca="1" si="12"/>
        <v>0</v>
      </c>
      <c r="I28" s="189">
        <f t="shared" ca="1" si="12"/>
        <v>0</v>
      </c>
      <c r="J28" s="189">
        <f t="shared" ca="1" si="12"/>
        <v>0</v>
      </c>
      <c r="K28" s="189">
        <f t="shared" ca="1" si="12"/>
        <v>0</v>
      </c>
      <c r="L28" s="189">
        <f t="shared" ca="1" si="12"/>
        <v>0</v>
      </c>
      <c r="M28" s="189">
        <f t="shared" ca="1" si="12"/>
        <v>0</v>
      </c>
      <c r="N28" s="189">
        <f t="shared" ca="1" si="12"/>
        <v>0</v>
      </c>
      <c r="O28" s="176">
        <f t="shared" ca="1" si="13"/>
        <v>0</v>
      </c>
    </row>
    <row r="29" spans="1:15" s="3" customFormat="1" ht="15.95" customHeight="1" x14ac:dyDescent="0.3">
      <c r="A29" s="277" t="s">
        <v>159</v>
      </c>
      <c r="B29" s="12" t="str">
        <f ca="1">IF(RIGHT($A29,1)="G",IF(ISNA(VLOOKUP(LEFT($A29,LEN($A29)-1),GroupAll,COLUMN(Groups!$B$4),0)),"Group Not Found",VLOOKUP(LEFT($A29,LEN($A29)-1),GroupAll,COLUMN(Groups!$B$4),0)),IF(ISNA(VLOOKUP($A29,AccountAll,COLUMN(TB!$B$4),0)),"Account Not Found",VLOOKUP($A29,AccountAll,COLUMN(TB!$B$4),0)))</f>
        <v>Investments</v>
      </c>
      <c r="C29" s="189">
        <f t="shared" ca="1" si="12"/>
        <v>0</v>
      </c>
      <c r="D29" s="189">
        <f t="shared" ca="1" si="12"/>
        <v>0</v>
      </c>
      <c r="E29" s="189">
        <f t="shared" ca="1" si="12"/>
        <v>0</v>
      </c>
      <c r="F29" s="189">
        <f t="shared" ca="1" si="12"/>
        <v>0</v>
      </c>
      <c r="G29" s="189">
        <f t="shared" ca="1" si="12"/>
        <v>0</v>
      </c>
      <c r="H29" s="189">
        <f t="shared" ca="1" si="12"/>
        <v>0</v>
      </c>
      <c r="I29" s="189">
        <f t="shared" ca="1" si="12"/>
        <v>0</v>
      </c>
      <c r="J29" s="189">
        <f t="shared" ca="1" si="12"/>
        <v>0</v>
      </c>
      <c r="K29" s="189">
        <f t="shared" ca="1" si="12"/>
        <v>0</v>
      </c>
      <c r="L29" s="189">
        <f t="shared" ca="1" si="12"/>
        <v>0</v>
      </c>
      <c r="M29" s="189">
        <f t="shared" ca="1" si="12"/>
        <v>0</v>
      </c>
      <c r="N29" s="189">
        <f t="shared" ca="1" si="12"/>
        <v>0</v>
      </c>
      <c r="O29" s="176">
        <f t="shared" ca="1" si="13"/>
        <v>0</v>
      </c>
    </row>
    <row r="30" spans="1:15" s="6" customFormat="1" ht="15.95" customHeight="1" thickBot="1" x14ac:dyDescent="0.3">
      <c r="A30" s="280"/>
      <c r="B30" s="6" t="s">
        <v>282</v>
      </c>
      <c r="C30" s="199">
        <f ca="1">SUM(C27:C29)</f>
        <v>0</v>
      </c>
      <c r="D30" s="199">
        <f t="shared" ref="D30:O30" ca="1" si="14">SUM(D27:D29)</f>
        <v>0</v>
      </c>
      <c r="E30" s="199">
        <f t="shared" ca="1" si="14"/>
        <v>0</v>
      </c>
      <c r="F30" s="199">
        <f t="shared" ca="1" si="14"/>
        <v>0</v>
      </c>
      <c r="G30" s="199">
        <f t="shared" ca="1" si="14"/>
        <v>0</v>
      </c>
      <c r="H30" s="199">
        <f t="shared" ca="1" si="14"/>
        <v>0</v>
      </c>
      <c r="I30" s="199">
        <f t="shared" ca="1" si="14"/>
        <v>0</v>
      </c>
      <c r="J30" s="199">
        <f t="shared" ca="1" si="14"/>
        <v>0</v>
      </c>
      <c r="K30" s="199">
        <f t="shared" ca="1" si="14"/>
        <v>0</v>
      </c>
      <c r="L30" s="199">
        <f t="shared" ca="1" si="14"/>
        <v>0</v>
      </c>
      <c r="M30" s="199">
        <f t="shared" ca="1" si="14"/>
        <v>0</v>
      </c>
      <c r="N30" s="199">
        <f t="shared" ca="1" si="14"/>
        <v>0</v>
      </c>
      <c r="O30" s="200">
        <f t="shared" ca="1" si="14"/>
        <v>0</v>
      </c>
    </row>
    <row r="31" spans="1:15" s="3" customFormat="1" ht="15.95" customHeight="1" x14ac:dyDescent="0.25">
      <c r="A31" s="278"/>
      <c r="B31" s="3" t="s">
        <v>283</v>
      </c>
      <c r="C31" s="176"/>
      <c r="D31" s="176"/>
      <c r="E31" s="176"/>
      <c r="F31" s="176"/>
      <c r="G31" s="176"/>
      <c r="H31" s="176"/>
      <c r="I31" s="176"/>
      <c r="J31" s="176"/>
      <c r="K31" s="176"/>
      <c r="L31" s="176"/>
      <c r="M31" s="176"/>
      <c r="N31" s="176"/>
      <c r="O31" s="176"/>
    </row>
    <row r="32" spans="1:15" s="3" customFormat="1" ht="15.95" customHeight="1" x14ac:dyDescent="0.3">
      <c r="A32" s="277" t="s">
        <v>296</v>
      </c>
      <c r="B32" s="12" t="str">
        <f ca="1">IF(RIGHT($A32,1)="G",IF(ISNA(VLOOKUP(LEFT($A32,LEN($A32)-1),GroupAll,COLUMN(Groups!$B$4),0)),"Group Not Found",VLOOKUP(LEFT($A32,LEN($A32)-1),GroupAll,COLUMN(Groups!$B$4),0)),IF(ISNA(VLOOKUP($A32,AccountAll,COLUMN(TB!$B$4),0)),"Account Not Found",VLOOKUP($A32,AccountAll,COLUMN(TB!$B$4),0)))</f>
        <v>Shareholders' Contributions</v>
      </c>
      <c r="C32" s="189">
        <f t="shared" ref="C32:N32" ca="1" si="15">SUMIFS(IncExcl,IncDocDate,"&gt;="&amp;DATE(YEAR(C$4),MONTH(C$4),1),IncDocDate,"&lt;="&amp;C$4,IncAccount,LEFT($A32,5)&amp;"*")-SUMIFS(ExpExcl,ExpDocDate,"&gt;="&amp;DATE(YEAR(C$4),MONTH(C$4),1),ExpDocDate,"&lt;="&amp;C$4,ExpAccount,LEFT($A32,5)&amp;"*")</f>
        <v>0</v>
      </c>
      <c r="D32" s="189">
        <f t="shared" ca="1" si="15"/>
        <v>0</v>
      </c>
      <c r="E32" s="189">
        <f t="shared" ca="1" si="15"/>
        <v>0</v>
      </c>
      <c r="F32" s="189">
        <f t="shared" ca="1" si="15"/>
        <v>0</v>
      </c>
      <c r="G32" s="189">
        <f t="shared" ca="1" si="15"/>
        <v>0</v>
      </c>
      <c r="H32" s="189">
        <f t="shared" ca="1" si="15"/>
        <v>0</v>
      </c>
      <c r="I32" s="189">
        <f t="shared" ca="1" si="15"/>
        <v>0</v>
      </c>
      <c r="J32" s="189">
        <f t="shared" ca="1" si="15"/>
        <v>0</v>
      </c>
      <c r="K32" s="189">
        <f t="shared" ca="1" si="15"/>
        <v>0</v>
      </c>
      <c r="L32" s="189">
        <f t="shared" ca="1" si="15"/>
        <v>0</v>
      </c>
      <c r="M32" s="189">
        <f t="shared" ca="1" si="15"/>
        <v>0</v>
      </c>
      <c r="N32" s="189">
        <f t="shared" ca="1" si="15"/>
        <v>0</v>
      </c>
      <c r="O32" s="176">
        <f t="shared" ref="O32:O35" ca="1" si="16">SUM(C32:N32)</f>
        <v>0</v>
      </c>
    </row>
    <row r="33" spans="1:15" ht="15.95" customHeight="1" x14ac:dyDescent="0.3">
      <c r="A33" s="281" t="s">
        <v>176</v>
      </c>
      <c r="B33" s="12" t="s">
        <v>234</v>
      </c>
      <c r="C33" s="189">
        <f ca="1">SUMIFS(IncExcl,IncDocDate,"&gt;="&amp;DATE(YEAR(C$4),MONTH(C$4),1),IncDocDate,"&lt;="&amp;C$4,IncAccount,LEFT($A33,5)&amp;"*")-SUMIFS(ExpExcl,ExpDocDate,"&gt;="&amp;DATE(YEAR(C$4),MONTH(C$4),1),ExpDocDate,"&lt;="&amp;C$4,ExpAccount,LEFT($A33,5)&amp;"*")-IS!C46</f>
        <v>0</v>
      </c>
      <c r="D33" s="189">
        <f ca="1">SUMIFS(IncExcl,IncDocDate,"&gt;="&amp;DATE(YEAR(D$4),MONTH(D$4),1),IncDocDate,"&lt;="&amp;D$4,IncAccount,LEFT($A33,5)&amp;"*")-SUMIFS(ExpExcl,ExpDocDate,"&gt;="&amp;DATE(YEAR(D$4),MONTH(D$4),1),ExpDocDate,"&lt;="&amp;D$4,ExpAccount,LEFT($A33,5)&amp;"*")-IS!D46</f>
        <v>0</v>
      </c>
      <c r="E33" s="189">
        <f ca="1">SUMIFS(IncExcl,IncDocDate,"&gt;="&amp;DATE(YEAR(E$4),MONTH(E$4),1),IncDocDate,"&lt;="&amp;E$4,IncAccount,LEFT($A33,5)&amp;"*")-SUMIFS(ExpExcl,ExpDocDate,"&gt;="&amp;DATE(YEAR(E$4),MONTH(E$4),1),ExpDocDate,"&lt;="&amp;E$4,ExpAccount,LEFT($A33,5)&amp;"*")-IS!E46</f>
        <v>0</v>
      </c>
      <c r="F33" s="189">
        <f ca="1">SUMIFS(IncExcl,IncDocDate,"&gt;="&amp;DATE(YEAR(F$4),MONTH(F$4),1),IncDocDate,"&lt;="&amp;F$4,IncAccount,LEFT($A33,5)&amp;"*")-SUMIFS(ExpExcl,ExpDocDate,"&gt;="&amp;DATE(YEAR(F$4),MONTH(F$4),1),ExpDocDate,"&lt;="&amp;F$4,ExpAccount,LEFT($A33,5)&amp;"*")-IS!F46</f>
        <v>0</v>
      </c>
      <c r="G33" s="189">
        <f ca="1">SUMIFS(IncExcl,IncDocDate,"&gt;="&amp;DATE(YEAR(G$4),MONTH(G$4),1),IncDocDate,"&lt;="&amp;G$4,IncAccount,LEFT($A33,5)&amp;"*")-SUMIFS(ExpExcl,ExpDocDate,"&gt;="&amp;DATE(YEAR(G$4),MONTH(G$4),1),ExpDocDate,"&lt;="&amp;G$4,ExpAccount,LEFT($A33,5)&amp;"*")-IS!G46</f>
        <v>0</v>
      </c>
      <c r="H33" s="189">
        <f ca="1">SUMIFS(IncExcl,IncDocDate,"&gt;="&amp;DATE(YEAR(H$4),MONTH(H$4),1),IncDocDate,"&lt;="&amp;H$4,IncAccount,LEFT($A33,5)&amp;"*")-SUMIFS(ExpExcl,ExpDocDate,"&gt;="&amp;DATE(YEAR(H$4),MONTH(H$4),1),ExpDocDate,"&lt;="&amp;H$4,ExpAccount,LEFT($A33,5)&amp;"*")-IS!H46</f>
        <v>0</v>
      </c>
      <c r="I33" s="189">
        <f ca="1">SUMIFS(IncExcl,IncDocDate,"&gt;="&amp;DATE(YEAR(I$4),MONTH(I$4),1),IncDocDate,"&lt;="&amp;I$4,IncAccount,LEFT($A33,5)&amp;"*")-SUMIFS(ExpExcl,ExpDocDate,"&gt;="&amp;DATE(YEAR(I$4),MONTH(I$4),1),ExpDocDate,"&lt;="&amp;I$4,ExpAccount,LEFT($A33,5)&amp;"*")-IS!I46</f>
        <v>0</v>
      </c>
      <c r="J33" s="189">
        <f ca="1">SUMIFS(IncExcl,IncDocDate,"&gt;="&amp;DATE(YEAR(J$4),MONTH(J$4),1),IncDocDate,"&lt;="&amp;J$4,IncAccount,LEFT($A33,5)&amp;"*")-SUMIFS(ExpExcl,ExpDocDate,"&gt;="&amp;DATE(YEAR(J$4),MONTH(J$4),1),ExpDocDate,"&lt;="&amp;J$4,ExpAccount,LEFT($A33,5)&amp;"*")-IS!J46</f>
        <v>0</v>
      </c>
      <c r="K33" s="189">
        <f ca="1">SUMIFS(IncExcl,IncDocDate,"&gt;="&amp;DATE(YEAR(K$4),MONTH(K$4),1),IncDocDate,"&lt;="&amp;K$4,IncAccount,LEFT($A33,5)&amp;"*")-SUMIFS(ExpExcl,ExpDocDate,"&gt;="&amp;DATE(YEAR(K$4),MONTH(K$4),1),ExpDocDate,"&lt;="&amp;K$4,ExpAccount,LEFT($A33,5)&amp;"*")-IS!K46</f>
        <v>0</v>
      </c>
      <c r="L33" s="189">
        <f ca="1">SUMIFS(IncExcl,IncDocDate,"&gt;="&amp;DATE(YEAR(L$4),MONTH(L$4),1),IncDocDate,"&lt;="&amp;L$4,IncAccount,LEFT($A33,5)&amp;"*")-SUMIFS(ExpExcl,ExpDocDate,"&gt;="&amp;DATE(YEAR(L$4),MONTH(L$4),1),ExpDocDate,"&lt;="&amp;L$4,ExpAccount,LEFT($A33,5)&amp;"*")-IS!L46</f>
        <v>0</v>
      </c>
      <c r="M33" s="189">
        <f ca="1">SUMIFS(IncExcl,IncDocDate,"&gt;="&amp;DATE(YEAR(M$4),MONTH(M$4),1),IncDocDate,"&lt;="&amp;M$4,IncAccount,LEFT($A33,5)&amp;"*")-SUMIFS(ExpExcl,ExpDocDate,"&gt;="&amp;DATE(YEAR(M$4),MONTH(M$4),1),ExpDocDate,"&lt;="&amp;M$4,ExpAccount,LEFT($A33,5)&amp;"*")-IS!M46</f>
        <v>0</v>
      </c>
      <c r="N33" s="189">
        <f ca="1">SUMIFS(IncExcl,IncDocDate,"&gt;="&amp;DATE(YEAR(N$4),MONTH(N$4),1),IncDocDate,"&lt;="&amp;N$4,IncAccount,LEFT($A33,5)&amp;"*")-SUMIFS(ExpExcl,ExpDocDate,"&gt;="&amp;DATE(YEAR(N$4),MONTH(N$4),1),ExpDocDate,"&lt;="&amp;N$4,ExpAccount,LEFT($A33,5)&amp;"*")-IS!N46</f>
        <v>0</v>
      </c>
      <c r="O33" s="176">
        <f t="shared" ca="1" si="16"/>
        <v>0</v>
      </c>
    </row>
    <row r="34" spans="1:15" s="3" customFormat="1" ht="15.95" customHeight="1" x14ac:dyDescent="0.3">
      <c r="A34" s="277" t="s">
        <v>180</v>
      </c>
      <c r="B34" s="12" t="str">
        <f ca="1">IF(RIGHT($A34,1)="G",IF(ISNA(VLOOKUP(LEFT($A34,LEN($A34)-1),GroupAll,COLUMN(Groups!$B$4),0)),"Group Not Found",VLOOKUP(LEFT($A34,LEN($A34)-1),GroupAll,COLUMN(Groups!$B$4),0)),IF(ISNA(VLOOKUP($A34,AccountAll,COLUMN(TB!$B$4),0)),"Account Not Found",VLOOKUP($A34,AccountAll,COLUMN(TB!$B$4),0)))&amp;" - Proceeds"</f>
        <v>Long Term Liabilities - Proceeds</v>
      </c>
      <c r="C34" s="189">
        <f t="shared" ref="C34:N34" ca="1" si="17">SUMIFS(IncExcl,IncDocDate,"&gt;="&amp;DATE(YEAR(C$4),MONTH(C$4),1),IncDocDate,"&lt;="&amp;C$4,IncAccount,LEFT($A34,5)&amp;"*")</f>
        <v>0</v>
      </c>
      <c r="D34" s="189">
        <f t="shared" ca="1" si="17"/>
        <v>0</v>
      </c>
      <c r="E34" s="189">
        <f t="shared" ca="1" si="17"/>
        <v>0</v>
      </c>
      <c r="F34" s="189">
        <f t="shared" ca="1" si="17"/>
        <v>0</v>
      </c>
      <c r="G34" s="189">
        <f t="shared" ca="1" si="17"/>
        <v>0</v>
      </c>
      <c r="H34" s="189">
        <f t="shared" ca="1" si="17"/>
        <v>0</v>
      </c>
      <c r="I34" s="189">
        <f t="shared" ca="1" si="17"/>
        <v>0</v>
      </c>
      <c r="J34" s="189">
        <f t="shared" ca="1" si="17"/>
        <v>0</v>
      </c>
      <c r="K34" s="189">
        <f t="shared" ca="1" si="17"/>
        <v>0</v>
      </c>
      <c r="L34" s="189">
        <f t="shared" ca="1" si="17"/>
        <v>0</v>
      </c>
      <c r="M34" s="189">
        <f t="shared" ca="1" si="17"/>
        <v>0</v>
      </c>
      <c r="N34" s="189">
        <f t="shared" ca="1" si="17"/>
        <v>0</v>
      </c>
      <c r="O34" s="176">
        <f t="shared" ca="1" si="16"/>
        <v>0</v>
      </c>
    </row>
    <row r="35" spans="1:15" s="3" customFormat="1" ht="15.95" customHeight="1" x14ac:dyDescent="0.3">
      <c r="A35" s="277" t="s">
        <v>180</v>
      </c>
      <c r="B35" s="12" t="str">
        <f ca="1">IF(RIGHT($A35,1)="G",IF(ISNA(VLOOKUP(LEFT($A35,LEN($A35)-1),GroupAll,COLUMN(Groups!$B$4),0)),"Group Not Found",VLOOKUP(LEFT($A35,LEN($A35)-1),GroupAll,COLUMN(Groups!$B$4),0)),IF(ISNA(VLOOKUP($A35,AccountAll,COLUMN(TB!$B$4),0)),"Account Not Found",VLOOKUP($A35,AccountAll,COLUMN(TB!$B$4),0)))&amp;" - Repayments"</f>
        <v>Long Term Liabilities - Repayments</v>
      </c>
      <c r="C35" s="189">
        <f t="shared" ref="C35:N35" ca="1" si="18">-SUMIFS(ExpExcl,ExpDocDate,"&gt;="&amp;DATE(YEAR(C$4),MONTH(C$4),1),ExpDocDate,"&lt;="&amp;C$4,ExpAccount,LEFT($A35,5)&amp;"*")</f>
        <v>0</v>
      </c>
      <c r="D35" s="189">
        <f t="shared" ca="1" si="18"/>
        <v>0</v>
      </c>
      <c r="E35" s="189">
        <f t="shared" ca="1" si="18"/>
        <v>0</v>
      </c>
      <c r="F35" s="189">
        <f t="shared" ca="1" si="18"/>
        <v>0</v>
      </c>
      <c r="G35" s="189">
        <f t="shared" ca="1" si="18"/>
        <v>0</v>
      </c>
      <c r="H35" s="189">
        <f t="shared" ca="1" si="18"/>
        <v>0</v>
      </c>
      <c r="I35" s="189">
        <f t="shared" ca="1" si="18"/>
        <v>0</v>
      </c>
      <c r="J35" s="189">
        <f t="shared" ca="1" si="18"/>
        <v>0</v>
      </c>
      <c r="K35" s="189">
        <f t="shared" ca="1" si="18"/>
        <v>0</v>
      </c>
      <c r="L35" s="189">
        <f t="shared" ca="1" si="18"/>
        <v>0</v>
      </c>
      <c r="M35" s="189">
        <f t="shared" ca="1" si="18"/>
        <v>0</v>
      </c>
      <c r="N35" s="189">
        <f t="shared" ca="1" si="18"/>
        <v>0</v>
      </c>
      <c r="O35" s="176">
        <f t="shared" ca="1" si="16"/>
        <v>0</v>
      </c>
    </row>
    <row r="36" spans="1:15" s="20" customFormat="1" ht="15.95" customHeight="1" thickBot="1" x14ac:dyDescent="0.3">
      <c r="A36" s="282"/>
      <c r="B36" s="201" t="s">
        <v>284</v>
      </c>
      <c r="C36" s="199">
        <f ca="1">SUM(C32:C35)</f>
        <v>0</v>
      </c>
      <c r="D36" s="199">
        <f t="shared" ref="D36:O36" ca="1" si="19">SUM(D32:D35)</f>
        <v>0</v>
      </c>
      <c r="E36" s="199">
        <f t="shared" ca="1" si="19"/>
        <v>0</v>
      </c>
      <c r="F36" s="199">
        <f t="shared" ca="1" si="19"/>
        <v>0</v>
      </c>
      <c r="G36" s="199">
        <f t="shared" ca="1" si="19"/>
        <v>0</v>
      </c>
      <c r="H36" s="199">
        <f t="shared" ca="1" si="19"/>
        <v>0</v>
      </c>
      <c r="I36" s="199">
        <f t="shared" ca="1" si="19"/>
        <v>0</v>
      </c>
      <c r="J36" s="199">
        <f t="shared" ca="1" si="19"/>
        <v>0</v>
      </c>
      <c r="K36" s="199">
        <f t="shared" ca="1" si="19"/>
        <v>0</v>
      </c>
      <c r="L36" s="199">
        <f t="shared" ca="1" si="19"/>
        <v>0</v>
      </c>
      <c r="M36" s="199">
        <f t="shared" ca="1" si="19"/>
        <v>0</v>
      </c>
      <c r="N36" s="199">
        <f t="shared" ca="1" si="19"/>
        <v>0</v>
      </c>
      <c r="O36" s="200">
        <f t="shared" ca="1" si="19"/>
        <v>0</v>
      </c>
    </row>
    <row r="37" spans="1:15" ht="15.95" customHeight="1" x14ac:dyDescent="0.3">
      <c r="B37" s="4" t="s">
        <v>285</v>
      </c>
      <c r="C37" s="189">
        <f ca="1">SUM(C25,C30,C36)</f>
        <v>7987247.0800000001</v>
      </c>
      <c r="D37" s="189">
        <f t="shared" ref="D37:O37" ca="1" si="20">SUM(D25,D30,D36)</f>
        <v>7852759.1999999899</v>
      </c>
      <c r="E37" s="189">
        <f t="shared" ca="1" si="20"/>
        <v>0</v>
      </c>
      <c r="F37" s="189">
        <f t="shared" ca="1" si="20"/>
        <v>0</v>
      </c>
      <c r="G37" s="189">
        <f t="shared" ca="1" si="20"/>
        <v>0</v>
      </c>
      <c r="H37" s="189">
        <f t="shared" ca="1" si="20"/>
        <v>0</v>
      </c>
      <c r="I37" s="189">
        <f t="shared" ca="1" si="20"/>
        <v>0</v>
      </c>
      <c r="J37" s="189">
        <f t="shared" ca="1" si="20"/>
        <v>0</v>
      </c>
      <c r="K37" s="189">
        <f t="shared" ca="1" si="20"/>
        <v>0</v>
      </c>
      <c r="L37" s="189">
        <f t="shared" ca="1" si="20"/>
        <v>0</v>
      </c>
      <c r="M37" s="189">
        <f t="shared" ca="1" si="20"/>
        <v>0</v>
      </c>
      <c r="N37" s="189">
        <f t="shared" ca="1" si="20"/>
        <v>0</v>
      </c>
      <c r="O37" s="176">
        <f t="shared" ca="1" si="20"/>
        <v>15840006.279999986</v>
      </c>
    </row>
    <row r="38" spans="1:15" s="60" customFormat="1" ht="15.95" customHeight="1" x14ac:dyDescent="0.3">
      <c r="A38" s="277" t="s">
        <v>248</v>
      </c>
      <c r="B38" s="4" t="s">
        <v>286</v>
      </c>
      <c r="C38" s="189" cm="1">
        <f t="array" aca="1" ref="C38" ca="1">SUMIF(AccountAll,LEFT($A38,4)&amp;"*",AccountOpen)</f>
        <v>7691858.54</v>
      </c>
      <c r="D38" s="202">
        <f ca="1">C39</f>
        <v>15679105.620000001</v>
      </c>
      <c r="E38" s="202">
        <f t="shared" ref="E38:N38" ca="1" si="21">D39</f>
        <v>23531864.819999993</v>
      </c>
      <c r="F38" s="202">
        <f t="shared" ca="1" si="21"/>
        <v>23531864.819999993</v>
      </c>
      <c r="G38" s="202">
        <f t="shared" ca="1" si="21"/>
        <v>23531864.819999993</v>
      </c>
      <c r="H38" s="202">
        <f t="shared" ca="1" si="21"/>
        <v>23531864.819999993</v>
      </c>
      <c r="I38" s="202">
        <f t="shared" ca="1" si="21"/>
        <v>23531864.819999993</v>
      </c>
      <c r="J38" s="202">
        <f t="shared" ca="1" si="21"/>
        <v>23531864.819999993</v>
      </c>
      <c r="K38" s="202">
        <f t="shared" ca="1" si="21"/>
        <v>23531864.819999993</v>
      </c>
      <c r="L38" s="202">
        <f t="shared" ca="1" si="21"/>
        <v>23531864.819999993</v>
      </c>
      <c r="M38" s="202">
        <f t="shared" ca="1" si="21"/>
        <v>23531864.819999993</v>
      </c>
      <c r="N38" s="202">
        <f t="shared" ca="1" si="21"/>
        <v>23531864.819999993</v>
      </c>
      <c r="O38" s="203">
        <f ca="1">C38</f>
        <v>7691858.54</v>
      </c>
    </row>
    <row r="39" spans="1:15" s="188" customFormat="1" ht="15.95" customHeight="1" thickBot="1" x14ac:dyDescent="0.3">
      <c r="A39" s="283"/>
      <c r="B39" s="3" t="s">
        <v>287</v>
      </c>
      <c r="C39" s="204">
        <f ca="1">SUM(C37:C38)</f>
        <v>15679105.620000001</v>
      </c>
      <c r="D39" s="204">
        <f t="shared" ref="D39:O39" ca="1" si="22">SUM(D37:D38)</f>
        <v>23531864.819999993</v>
      </c>
      <c r="E39" s="204">
        <f t="shared" ca="1" si="22"/>
        <v>23531864.819999993</v>
      </c>
      <c r="F39" s="204">
        <f t="shared" ca="1" si="22"/>
        <v>23531864.819999993</v>
      </c>
      <c r="G39" s="204">
        <f t="shared" ca="1" si="22"/>
        <v>23531864.819999993</v>
      </c>
      <c r="H39" s="204">
        <f t="shared" ca="1" si="22"/>
        <v>23531864.819999993</v>
      </c>
      <c r="I39" s="204">
        <f t="shared" ca="1" si="22"/>
        <v>23531864.819999993</v>
      </c>
      <c r="J39" s="204">
        <f t="shared" ca="1" si="22"/>
        <v>23531864.819999993</v>
      </c>
      <c r="K39" s="204">
        <f t="shared" ca="1" si="22"/>
        <v>23531864.819999993</v>
      </c>
      <c r="L39" s="204">
        <f t="shared" ca="1" si="22"/>
        <v>23531864.819999993</v>
      </c>
      <c r="M39" s="204">
        <f t="shared" ca="1" si="22"/>
        <v>23531864.819999993</v>
      </c>
      <c r="N39" s="204">
        <f t="shared" ca="1" si="22"/>
        <v>23531864.819999993</v>
      </c>
      <c r="O39" s="204">
        <f t="shared" ca="1" si="22"/>
        <v>23531864.819999985</v>
      </c>
    </row>
    <row r="40" spans="1:15" s="34" customFormat="1" ht="15.95" customHeight="1" thickTop="1" x14ac:dyDescent="0.3">
      <c r="A40" s="279"/>
      <c r="B40" s="103"/>
      <c r="O40" s="188"/>
    </row>
    <row r="41" spans="1:15" s="34" customFormat="1" ht="15.95" customHeight="1" x14ac:dyDescent="0.3">
      <c r="A41" s="279"/>
      <c r="B41" s="103"/>
      <c r="O41" s="188"/>
    </row>
    <row r="42" spans="1:15" s="34" customFormat="1" ht="15.95" customHeight="1" x14ac:dyDescent="0.3">
      <c r="A42" s="279"/>
      <c r="B42" s="103"/>
      <c r="O42" s="188"/>
    </row>
  </sheetData>
  <sheetProtection autoFilter="0"/>
  <pageMargins left="0.59055118110236227" right="0.59055118110236227" top="0.59055118110236227" bottom="0.59055118110236227" header="0.39370078740157483" footer="0.39370078740157483"/>
  <pageSetup paperSize="9" scale="59" orientation="landscape"/>
  <headerFooter alignWithMargins="0">
    <oddFooter>Page &amp;P of &amp;N</oddFooter>
  </headerFooter>
  <rowBreaks count="1" manualBreakCount="1">
    <brk id="38" max="16383" man="1"/>
  </rowBreaks>
  <ignoredErrors>
    <ignoredError sqref="O22" 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P63"/>
  <sheetViews>
    <sheetView zoomScale="115" zoomScaleNormal="115" workbookViewId="0">
      <pane xSplit="2" ySplit="4" topLeftCell="C44" activePane="bottomRight" state="frozen"/>
      <selection pane="topRight" activeCell="B1" sqref="B1"/>
      <selection pane="bottomLeft" activeCell="A5" sqref="A5"/>
      <selection pane="bottomRight" activeCell="B51" sqref="B51"/>
    </sheetView>
  </sheetViews>
  <sheetFormatPr defaultColWidth="9.140625" defaultRowHeight="15.95" customHeight="1" x14ac:dyDescent="0.3"/>
  <cols>
    <col min="1" max="1" width="8.5703125" style="284" customWidth="1"/>
    <col min="2" max="2" width="40.5703125" style="12" customWidth="1"/>
    <col min="3" max="3" width="14.5703125" style="131" customWidth="1"/>
    <col min="4" max="4" width="14.5703125" style="4" customWidth="1"/>
    <col min="5" max="7" width="14.5703125" style="34" customWidth="1"/>
    <col min="8" max="15" width="14.5703125" style="4" customWidth="1"/>
    <col min="16" max="16" width="14.5703125" style="3" customWidth="1"/>
    <col min="17" max="16384" width="9.140625" style="4"/>
  </cols>
  <sheetData>
    <row r="1" spans="1:16" ht="15.95" customHeight="1" x14ac:dyDescent="0.3">
      <c r="B1" s="273" t="str">
        <f>IF(ISBLANK(Setup!$C$5),"Example Limited",Setup!$C$5)</f>
        <v>Nasia Consult Co. Limited</v>
      </c>
      <c r="C1" s="205"/>
      <c r="G1" s="4"/>
      <c r="L1" s="5"/>
    </row>
    <row r="2" spans="1:16" ht="15.95" customHeight="1" x14ac:dyDescent="0.3">
      <c r="B2" s="28" t="s">
        <v>43</v>
      </c>
      <c r="C2" s="206"/>
      <c r="G2" s="4"/>
    </row>
    <row r="3" spans="1:16" ht="15.95" customHeight="1" x14ac:dyDescent="0.3">
      <c r="B3" s="207" t="s">
        <v>244</v>
      </c>
    </row>
    <row r="4" spans="1:16" s="187" customFormat="1" ht="18" customHeight="1" x14ac:dyDescent="0.25">
      <c r="A4" s="183" t="s">
        <v>251</v>
      </c>
      <c r="B4" s="208" t="s">
        <v>7</v>
      </c>
      <c r="C4" s="193">
        <f ca="1">DATE(YEAR(Setup!$D$18),MONTH(Setup!$D$18),0)</f>
        <v>45291</v>
      </c>
      <c r="D4" s="185">
        <f ca="1">DATE(YEAR(Setup!$D$18),MONTH(Setup!$D$18)+1,0)</f>
        <v>45322</v>
      </c>
      <c r="E4" s="185">
        <f t="shared" ref="E4:N4" ca="1" si="0">DATE(YEAR(D4),MONTH(D4)+2,0)</f>
        <v>45351</v>
      </c>
      <c r="F4" s="185">
        <f t="shared" ca="1" si="0"/>
        <v>45382</v>
      </c>
      <c r="G4" s="185">
        <f t="shared" ca="1" si="0"/>
        <v>45412</v>
      </c>
      <c r="H4" s="185">
        <f t="shared" ca="1" si="0"/>
        <v>45443</v>
      </c>
      <c r="I4" s="185">
        <f t="shared" ca="1" si="0"/>
        <v>45473</v>
      </c>
      <c r="J4" s="185">
        <f t="shared" ca="1" si="0"/>
        <v>45504</v>
      </c>
      <c r="K4" s="185">
        <f t="shared" ca="1" si="0"/>
        <v>45535</v>
      </c>
      <c r="L4" s="185">
        <f t="shared" ca="1" si="0"/>
        <v>45565</v>
      </c>
      <c r="M4" s="185">
        <f t="shared" ca="1" si="0"/>
        <v>45596</v>
      </c>
      <c r="N4" s="185">
        <f t="shared" ca="1" si="0"/>
        <v>45626</v>
      </c>
      <c r="O4" s="185">
        <f ca="1">DATE(YEAR(N4),MONTH(N4)+2,0)</f>
        <v>45657</v>
      </c>
      <c r="P4" s="193" t="str">
        <f ca="1">"Total "&amp;YEAR($N4)</f>
        <v>Total 2024</v>
      </c>
    </row>
    <row r="5" spans="1:16" s="2" customFormat="1" ht="15.95" customHeight="1" x14ac:dyDescent="0.2">
      <c r="A5" s="285"/>
      <c r="B5" s="56" t="s">
        <v>82</v>
      </c>
      <c r="C5" s="209"/>
      <c r="D5" s="210"/>
      <c r="E5" s="210"/>
      <c r="F5" s="210"/>
      <c r="G5" s="210"/>
      <c r="H5" s="210"/>
      <c r="I5" s="210"/>
      <c r="J5" s="210"/>
      <c r="K5" s="210"/>
      <c r="L5" s="210"/>
      <c r="M5" s="210"/>
      <c r="N5" s="210"/>
      <c r="O5" s="210"/>
      <c r="P5" s="210"/>
    </row>
    <row r="6" spans="1:16" s="2" customFormat="1" ht="15.95" customHeight="1" x14ac:dyDescent="0.2">
      <c r="A6" s="285"/>
      <c r="B6" s="56" t="s">
        <v>83</v>
      </c>
      <c r="C6" s="209"/>
      <c r="D6" s="210"/>
      <c r="E6" s="210"/>
      <c r="F6" s="210"/>
      <c r="G6" s="210"/>
      <c r="H6" s="210"/>
      <c r="I6" s="210"/>
      <c r="J6" s="210"/>
      <c r="K6" s="210"/>
      <c r="L6" s="210"/>
      <c r="M6" s="210"/>
      <c r="N6" s="210"/>
      <c r="O6" s="210"/>
      <c r="P6" s="210"/>
    </row>
    <row r="7" spans="1:16" ht="15.95" customHeight="1" x14ac:dyDescent="0.3">
      <c r="A7" s="284" t="s">
        <v>148</v>
      </c>
      <c r="B7" s="12" t="str">
        <f ca="1">IF(RIGHT($A7,1)="G",IF(ISNA(VLOOKUP(LEFT($A7,LEN($A7)-1),GroupAll,COLUMN(Groups!$B$4),0)),"Group Not Found",VLOOKUP(LEFT($A7,LEN($A7)-1),GroupAll,COLUMN(Groups!$B$4),0)),IF(ISNA(VLOOKUP($A7,AccountAll,COLUMN(TB!$B$4),0)),"Account Not Found",VLOOKUP($A7,AccountAll,COLUMN(TB!$B$4),0)))</f>
        <v>Property, Plant &amp; Equipment - Cost</v>
      </c>
      <c r="C7" s="34" cm="1">
        <f t="array" aca="1" ref="C7" ca="1">IF(RIGHT($A7,1)="G",SUMIF(AccountAll,LEFT($A7,5)&amp;"*",AccountOpen),SUMIF(AccountAll,$A7,AccountOpen))</f>
        <v>0</v>
      </c>
      <c r="D7" s="34" cm="1">
        <f t="array" aca="1" ref="D7" ca="1">C7+IF(RIGHT($A7,1)="G",-SUMIFS(IncExcl,IncDocDate,"&gt;="&amp;DATE(YEAR(D$4),MONTH(D$4),1),IncDocDate,"&lt;="&amp;D$4,IncAccount,LEFT($A7,5)&amp;"*")+SUMIFS(ExpExcl,ExpDocDate,"&gt;="&amp;DATE(YEAR(D$4),MONTH(D$4),1),ExpDocDate,"&lt;="&amp;D$4,ExpAccount,LEFT($A7,5)&amp;"*"),-SUMIFS(IncExcl,IncDocDate,"&gt;="&amp;DATE(YEAR(D$4),MONTH(D$4),1),IncDocDate,"&lt;="&amp;D$4,IncAccount,$A7)+SUMIFS(ExpExcl,ExpDocDate,"&gt;="&amp;DATE(YEAR(D$4),MONTH(D$4),1),ExpDocDate,"&lt;="&amp;D$4,ExpAccount,$A7))</f>
        <v>0</v>
      </c>
      <c r="E7" s="34" cm="1">
        <f t="array" aca="1" ref="E7" ca="1">D7+IF(RIGHT($A7,1)="G",-SUMIFS(IncExcl,IncDocDate,"&gt;="&amp;DATE(YEAR(E$4),MONTH(E$4),1),IncDocDate,"&lt;="&amp;E$4,IncAccount,LEFT($A7,5)&amp;"*")+SUMIFS(ExpExcl,ExpDocDate,"&gt;="&amp;DATE(YEAR(E$4),MONTH(E$4),1),ExpDocDate,"&lt;="&amp;E$4,ExpAccount,LEFT($A7,5)&amp;"*"),-SUMIFS(IncExcl,IncDocDate,"&gt;="&amp;DATE(YEAR(E$4),MONTH(E$4),1),IncDocDate,"&lt;="&amp;E$4,IncAccount,$A7)+SUMIFS(ExpExcl,ExpDocDate,"&gt;="&amp;DATE(YEAR(E$4),MONTH(E$4),1),ExpDocDate,"&lt;="&amp;E$4,ExpAccount,$A7))</f>
        <v>0</v>
      </c>
      <c r="F7" s="34" cm="1">
        <f t="array" aca="1" ref="F7" ca="1">E7+IF(RIGHT($A7,1)="G",-SUMIFS(IncExcl,IncDocDate,"&gt;="&amp;DATE(YEAR(F$4),MONTH(F$4),1),IncDocDate,"&lt;="&amp;F$4,IncAccount,LEFT($A7,5)&amp;"*")+SUMIFS(ExpExcl,ExpDocDate,"&gt;="&amp;DATE(YEAR(F$4),MONTH(F$4),1),ExpDocDate,"&lt;="&amp;F$4,ExpAccount,LEFT($A7,5)&amp;"*"),-SUMIFS(IncExcl,IncDocDate,"&gt;="&amp;DATE(YEAR(F$4),MONTH(F$4),1),IncDocDate,"&lt;="&amp;F$4,IncAccount,$A7)+SUMIFS(ExpExcl,ExpDocDate,"&gt;="&amp;DATE(YEAR(F$4),MONTH(F$4),1),ExpDocDate,"&lt;="&amp;F$4,ExpAccount,$A7))</f>
        <v>0</v>
      </c>
      <c r="G7" s="34" cm="1">
        <f t="array" aca="1" ref="G7" ca="1">F7+IF(RIGHT($A7,1)="G",-SUMIFS(IncExcl,IncDocDate,"&gt;="&amp;DATE(YEAR(G$4),MONTH(G$4),1),IncDocDate,"&lt;="&amp;G$4,IncAccount,LEFT($A7,5)&amp;"*")+SUMIFS(ExpExcl,ExpDocDate,"&gt;="&amp;DATE(YEAR(G$4),MONTH(G$4),1),ExpDocDate,"&lt;="&amp;G$4,ExpAccount,LEFT($A7,5)&amp;"*"),-SUMIFS(IncExcl,IncDocDate,"&gt;="&amp;DATE(YEAR(G$4),MONTH(G$4),1),IncDocDate,"&lt;="&amp;G$4,IncAccount,$A7)+SUMIFS(ExpExcl,ExpDocDate,"&gt;="&amp;DATE(YEAR(G$4),MONTH(G$4),1),ExpDocDate,"&lt;="&amp;G$4,ExpAccount,$A7))</f>
        <v>0</v>
      </c>
      <c r="H7" s="34" cm="1">
        <f t="array" aca="1" ref="H7" ca="1">G7+IF(RIGHT($A7,1)="G",-SUMIFS(IncExcl,IncDocDate,"&gt;="&amp;DATE(YEAR(H$4),MONTH(H$4),1),IncDocDate,"&lt;="&amp;H$4,IncAccount,LEFT($A7,5)&amp;"*")+SUMIFS(ExpExcl,ExpDocDate,"&gt;="&amp;DATE(YEAR(H$4),MONTH(H$4),1),ExpDocDate,"&lt;="&amp;H$4,ExpAccount,LEFT($A7,5)&amp;"*"),-SUMIFS(IncExcl,IncDocDate,"&gt;="&amp;DATE(YEAR(H$4),MONTH(H$4),1),IncDocDate,"&lt;="&amp;H$4,IncAccount,$A7)+SUMIFS(ExpExcl,ExpDocDate,"&gt;="&amp;DATE(YEAR(H$4),MONTH(H$4),1),ExpDocDate,"&lt;="&amp;H$4,ExpAccount,$A7))</f>
        <v>0</v>
      </c>
      <c r="I7" s="34" cm="1">
        <f t="array" aca="1" ref="I7" ca="1">H7+IF(RIGHT($A7,1)="G",-SUMIFS(IncExcl,IncDocDate,"&gt;="&amp;DATE(YEAR(I$4),MONTH(I$4),1),IncDocDate,"&lt;="&amp;I$4,IncAccount,LEFT($A7,5)&amp;"*")+SUMIFS(ExpExcl,ExpDocDate,"&gt;="&amp;DATE(YEAR(I$4),MONTH(I$4),1),ExpDocDate,"&lt;="&amp;I$4,ExpAccount,LEFT($A7,5)&amp;"*"),-SUMIFS(IncExcl,IncDocDate,"&gt;="&amp;DATE(YEAR(I$4),MONTH(I$4),1),IncDocDate,"&lt;="&amp;I$4,IncAccount,$A7)+SUMIFS(ExpExcl,ExpDocDate,"&gt;="&amp;DATE(YEAR(I$4),MONTH(I$4),1),ExpDocDate,"&lt;="&amp;I$4,ExpAccount,$A7))</f>
        <v>0</v>
      </c>
      <c r="J7" s="34" cm="1">
        <f t="array" aca="1" ref="J7" ca="1">I7+IF(RIGHT($A7,1)="G",-SUMIFS(IncExcl,IncDocDate,"&gt;="&amp;DATE(YEAR(J$4),MONTH(J$4),1),IncDocDate,"&lt;="&amp;J$4,IncAccount,LEFT($A7,5)&amp;"*")+SUMIFS(ExpExcl,ExpDocDate,"&gt;="&amp;DATE(YEAR(J$4),MONTH(J$4),1),ExpDocDate,"&lt;="&amp;J$4,ExpAccount,LEFT($A7,5)&amp;"*"),-SUMIFS(IncExcl,IncDocDate,"&gt;="&amp;DATE(YEAR(J$4),MONTH(J$4),1),IncDocDate,"&lt;="&amp;J$4,IncAccount,$A7)+SUMIFS(ExpExcl,ExpDocDate,"&gt;="&amp;DATE(YEAR(J$4),MONTH(J$4),1),ExpDocDate,"&lt;="&amp;J$4,ExpAccount,$A7))</f>
        <v>0</v>
      </c>
      <c r="K7" s="34" cm="1">
        <f t="array" aca="1" ref="K7" ca="1">J7+IF(RIGHT($A7,1)="G",-SUMIFS(IncExcl,IncDocDate,"&gt;="&amp;DATE(YEAR(K$4),MONTH(K$4),1),IncDocDate,"&lt;="&amp;K$4,IncAccount,LEFT($A7,5)&amp;"*")+SUMIFS(ExpExcl,ExpDocDate,"&gt;="&amp;DATE(YEAR(K$4),MONTH(K$4),1),ExpDocDate,"&lt;="&amp;K$4,ExpAccount,LEFT($A7,5)&amp;"*"),-SUMIFS(IncExcl,IncDocDate,"&gt;="&amp;DATE(YEAR(K$4),MONTH(K$4),1),IncDocDate,"&lt;="&amp;K$4,IncAccount,$A7)+SUMIFS(ExpExcl,ExpDocDate,"&gt;="&amp;DATE(YEAR(K$4),MONTH(K$4),1),ExpDocDate,"&lt;="&amp;K$4,ExpAccount,$A7))</f>
        <v>0</v>
      </c>
      <c r="L7" s="34" cm="1">
        <f t="array" aca="1" ref="L7" ca="1">K7+IF(RIGHT($A7,1)="G",-SUMIFS(IncExcl,IncDocDate,"&gt;="&amp;DATE(YEAR(L$4),MONTH(L$4),1),IncDocDate,"&lt;="&amp;L$4,IncAccount,LEFT($A7,5)&amp;"*")+SUMIFS(ExpExcl,ExpDocDate,"&gt;="&amp;DATE(YEAR(L$4),MONTH(L$4),1),ExpDocDate,"&lt;="&amp;L$4,ExpAccount,LEFT($A7,5)&amp;"*"),-SUMIFS(IncExcl,IncDocDate,"&gt;="&amp;DATE(YEAR(L$4),MONTH(L$4),1),IncDocDate,"&lt;="&amp;L$4,IncAccount,$A7)+SUMIFS(ExpExcl,ExpDocDate,"&gt;="&amp;DATE(YEAR(L$4),MONTH(L$4),1),ExpDocDate,"&lt;="&amp;L$4,ExpAccount,$A7))</f>
        <v>0</v>
      </c>
      <c r="M7" s="34" cm="1">
        <f t="array" aca="1" ref="M7" ca="1">L7+IF(RIGHT($A7,1)="G",-SUMIFS(IncExcl,IncDocDate,"&gt;="&amp;DATE(YEAR(M$4),MONTH(M$4),1),IncDocDate,"&lt;="&amp;M$4,IncAccount,LEFT($A7,5)&amp;"*")+SUMIFS(ExpExcl,ExpDocDate,"&gt;="&amp;DATE(YEAR(M$4),MONTH(M$4),1),ExpDocDate,"&lt;="&amp;M$4,ExpAccount,LEFT($A7,5)&amp;"*"),-SUMIFS(IncExcl,IncDocDate,"&gt;="&amp;DATE(YEAR(M$4),MONTH(M$4),1),IncDocDate,"&lt;="&amp;M$4,IncAccount,$A7)+SUMIFS(ExpExcl,ExpDocDate,"&gt;="&amp;DATE(YEAR(M$4),MONTH(M$4),1),ExpDocDate,"&lt;="&amp;M$4,ExpAccount,$A7))</f>
        <v>0</v>
      </c>
      <c r="N7" s="34" cm="1">
        <f t="array" aca="1" ref="N7" ca="1">M7+IF(RIGHT($A7,1)="G",-SUMIFS(IncExcl,IncDocDate,"&gt;="&amp;DATE(YEAR(N$4),MONTH(N$4),1),IncDocDate,"&lt;="&amp;N$4,IncAccount,LEFT($A7,5)&amp;"*")+SUMIFS(ExpExcl,ExpDocDate,"&gt;="&amp;DATE(YEAR(N$4),MONTH(N$4),1),ExpDocDate,"&lt;="&amp;N$4,ExpAccount,LEFT($A7,5)&amp;"*"),-SUMIFS(IncExcl,IncDocDate,"&gt;="&amp;DATE(YEAR(N$4),MONTH(N$4),1),IncDocDate,"&lt;="&amp;N$4,IncAccount,$A7)+SUMIFS(ExpExcl,ExpDocDate,"&gt;="&amp;DATE(YEAR(N$4),MONTH(N$4),1),ExpDocDate,"&lt;="&amp;N$4,ExpAccount,$A7))</f>
        <v>0</v>
      </c>
      <c r="O7" s="34" cm="1">
        <f t="array" aca="1" ref="O7" ca="1">N7+IF(RIGHT($A7,1)="G",-SUMIFS(IncExcl,IncDocDate,"&gt;="&amp;DATE(YEAR(O$4),MONTH(O$4),1),IncDocDate,"&lt;="&amp;O$4,IncAccount,LEFT($A7,5)&amp;"*")+SUMIFS(ExpExcl,ExpDocDate,"&gt;="&amp;DATE(YEAR(O$4),MONTH(O$4),1),ExpDocDate,"&lt;="&amp;O$4,ExpAccount,LEFT($A7,5)&amp;"*"),-SUMIFS(IncExcl,IncDocDate,"&gt;="&amp;DATE(YEAR(O$4),MONTH(O$4),1),IncDocDate,"&lt;="&amp;O$4,IncAccount,$A7)+SUMIFS(ExpExcl,ExpDocDate,"&gt;="&amp;DATE(YEAR(O$4),MONTH(O$4),1),ExpDocDate,"&lt;="&amp;O$4,ExpAccount,$A7))</f>
        <v>0</v>
      </c>
      <c r="P7" s="188">
        <f ca="1">O7</f>
        <v>0</v>
      </c>
    </row>
    <row r="8" spans="1:16" ht="15.95" customHeight="1" x14ac:dyDescent="0.3">
      <c r="A8" s="284" t="s">
        <v>149</v>
      </c>
      <c r="B8" s="12" t="str">
        <f ca="1">IF(RIGHT($A8,1)="G",IF(ISNA(VLOOKUP(LEFT($A8,LEN($A8)-1),GroupAll,COLUMN(Groups!$B$4),0)),"Group Not Found",VLOOKUP(LEFT($A8,LEN($A8)-1),GroupAll,COLUMN(Groups!$B$4),0)),IF(ISNA(VLOOKUP($A8,AccountAll,COLUMN(TB!$B$4),0)),"Account Not Found",VLOOKUP($A8,AccountAll,COLUMN(TB!$B$4),0)))</f>
        <v>Property, Plant &amp; Equipment - Accum Dep</v>
      </c>
      <c r="C8" s="34" cm="1">
        <f t="array" aca="1" ref="C8" ca="1">IF(RIGHT($A8,1)="G",SUMIF(AccountAll,LEFT($A8,5)&amp;"*",AccountOpen),SUMIF(AccountAll,$A8,AccountOpen))</f>
        <v>0</v>
      </c>
      <c r="D8" s="34" cm="1">
        <f t="array" aca="1" ref="D8" ca="1">C8+IF(RIGHT($A8,1)="G",-SUMIFS(IncExcl,IncDocDate,"&gt;="&amp;DATE(YEAR(D$4),MONTH(D$4),1),IncDocDate,"&lt;="&amp;D$4,IncAccount,LEFT($A8,5)&amp;"*")+SUMIFS(ExpExcl,ExpDocDate,"&gt;="&amp;DATE(YEAR(D$4),MONTH(D$4),1),ExpDocDate,"&lt;="&amp;D$4,ExpAccount,LEFT($A8,5)&amp;"*"),-SUMIFS(IncExcl,IncDocDate,"&gt;="&amp;DATE(YEAR(D$4),MONTH(D$4),1),IncDocDate,"&lt;="&amp;D$4,IncAccount,$A8)+SUMIFS(ExpExcl,ExpDocDate,"&gt;="&amp;DATE(YEAR(D$4),MONTH(D$4),1),ExpDocDate,"&lt;="&amp;D$4,ExpAccount,$A8))</f>
        <v>0</v>
      </c>
      <c r="E8" s="34" cm="1">
        <f t="array" aca="1" ref="E8" ca="1">D8+IF(RIGHT($A8,1)="G",-SUMIFS(IncExcl,IncDocDate,"&gt;="&amp;DATE(YEAR(E$4),MONTH(E$4),1),IncDocDate,"&lt;="&amp;E$4,IncAccount,LEFT($A8,5)&amp;"*")+SUMIFS(ExpExcl,ExpDocDate,"&gt;="&amp;DATE(YEAR(E$4),MONTH(E$4),1),ExpDocDate,"&lt;="&amp;E$4,ExpAccount,LEFT($A8,5)&amp;"*"),-SUMIFS(IncExcl,IncDocDate,"&gt;="&amp;DATE(YEAR(E$4),MONTH(E$4),1),IncDocDate,"&lt;="&amp;E$4,IncAccount,$A8)+SUMIFS(ExpExcl,ExpDocDate,"&gt;="&amp;DATE(YEAR(E$4),MONTH(E$4),1),ExpDocDate,"&lt;="&amp;E$4,ExpAccount,$A8))</f>
        <v>0</v>
      </c>
      <c r="F8" s="34" cm="1">
        <f t="array" aca="1" ref="F8" ca="1">E8+IF(RIGHT($A8,1)="G",-SUMIFS(IncExcl,IncDocDate,"&gt;="&amp;DATE(YEAR(F$4),MONTH(F$4),1),IncDocDate,"&lt;="&amp;F$4,IncAccount,LEFT($A8,5)&amp;"*")+SUMIFS(ExpExcl,ExpDocDate,"&gt;="&amp;DATE(YEAR(F$4),MONTH(F$4),1),ExpDocDate,"&lt;="&amp;F$4,ExpAccount,LEFT($A8,5)&amp;"*"),-SUMIFS(IncExcl,IncDocDate,"&gt;="&amp;DATE(YEAR(F$4),MONTH(F$4),1),IncDocDate,"&lt;="&amp;F$4,IncAccount,$A8)+SUMIFS(ExpExcl,ExpDocDate,"&gt;="&amp;DATE(YEAR(F$4),MONTH(F$4),1),ExpDocDate,"&lt;="&amp;F$4,ExpAccount,$A8))</f>
        <v>0</v>
      </c>
      <c r="G8" s="34" cm="1">
        <f t="array" aca="1" ref="G8" ca="1">F8+IF(RIGHT($A8,1)="G",-SUMIFS(IncExcl,IncDocDate,"&gt;="&amp;DATE(YEAR(G$4),MONTH(G$4),1),IncDocDate,"&lt;="&amp;G$4,IncAccount,LEFT($A8,5)&amp;"*")+SUMIFS(ExpExcl,ExpDocDate,"&gt;="&amp;DATE(YEAR(G$4),MONTH(G$4),1),ExpDocDate,"&lt;="&amp;G$4,ExpAccount,LEFT($A8,5)&amp;"*"),-SUMIFS(IncExcl,IncDocDate,"&gt;="&amp;DATE(YEAR(G$4),MONTH(G$4),1),IncDocDate,"&lt;="&amp;G$4,IncAccount,$A8)+SUMIFS(ExpExcl,ExpDocDate,"&gt;="&amp;DATE(YEAR(G$4),MONTH(G$4),1),ExpDocDate,"&lt;="&amp;G$4,ExpAccount,$A8))</f>
        <v>0</v>
      </c>
      <c r="H8" s="34" cm="1">
        <f t="array" aca="1" ref="H8" ca="1">G8+IF(RIGHT($A8,1)="G",-SUMIFS(IncExcl,IncDocDate,"&gt;="&amp;DATE(YEAR(H$4),MONTH(H$4),1),IncDocDate,"&lt;="&amp;H$4,IncAccount,LEFT($A8,5)&amp;"*")+SUMIFS(ExpExcl,ExpDocDate,"&gt;="&amp;DATE(YEAR(H$4),MONTH(H$4),1),ExpDocDate,"&lt;="&amp;H$4,ExpAccount,LEFT($A8,5)&amp;"*"),-SUMIFS(IncExcl,IncDocDate,"&gt;="&amp;DATE(YEAR(H$4),MONTH(H$4),1),IncDocDate,"&lt;="&amp;H$4,IncAccount,$A8)+SUMIFS(ExpExcl,ExpDocDate,"&gt;="&amp;DATE(YEAR(H$4),MONTH(H$4),1),ExpDocDate,"&lt;="&amp;H$4,ExpAccount,$A8))</f>
        <v>0</v>
      </c>
      <c r="I8" s="34" cm="1">
        <f t="array" aca="1" ref="I8" ca="1">H8+IF(RIGHT($A8,1)="G",-SUMIFS(IncExcl,IncDocDate,"&gt;="&amp;DATE(YEAR(I$4),MONTH(I$4),1),IncDocDate,"&lt;="&amp;I$4,IncAccount,LEFT($A8,5)&amp;"*")+SUMIFS(ExpExcl,ExpDocDate,"&gt;="&amp;DATE(YEAR(I$4),MONTH(I$4),1),ExpDocDate,"&lt;="&amp;I$4,ExpAccount,LEFT($A8,5)&amp;"*"),-SUMIFS(IncExcl,IncDocDate,"&gt;="&amp;DATE(YEAR(I$4),MONTH(I$4),1),IncDocDate,"&lt;="&amp;I$4,IncAccount,$A8)+SUMIFS(ExpExcl,ExpDocDate,"&gt;="&amp;DATE(YEAR(I$4),MONTH(I$4),1),ExpDocDate,"&lt;="&amp;I$4,ExpAccount,$A8))</f>
        <v>0</v>
      </c>
      <c r="J8" s="34" cm="1">
        <f t="array" aca="1" ref="J8" ca="1">I8+IF(RIGHT($A8,1)="G",-SUMIFS(IncExcl,IncDocDate,"&gt;="&amp;DATE(YEAR(J$4),MONTH(J$4),1),IncDocDate,"&lt;="&amp;J$4,IncAccount,LEFT($A8,5)&amp;"*")+SUMIFS(ExpExcl,ExpDocDate,"&gt;="&amp;DATE(YEAR(J$4),MONTH(J$4),1),ExpDocDate,"&lt;="&amp;J$4,ExpAccount,LEFT($A8,5)&amp;"*"),-SUMIFS(IncExcl,IncDocDate,"&gt;="&amp;DATE(YEAR(J$4),MONTH(J$4),1),IncDocDate,"&lt;="&amp;J$4,IncAccount,$A8)+SUMIFS(ExpExcl,ExpDocDate,"&gt;="&amp;DATE(YEAR(J$4),MONTH(J$4),1),ExpDocDate,"&lt;="&amp;J$4,ExpAccount,$A8))</f>
        <v>0</v>
      </c>
      <c r="K8" s="34" cm="1">
        <f t="array" aca="1" ref="K8" ca="1">J8+IF(RIGHT($A8,1)="G",-SUMIFS(IncExcl,IncDocDate,"&gt;="&amp;DATE(YEAR(K$4),MONTH(K$4),1),IncDocDate,"&lt;="&amp;K$4,IncAccount,LEFT($A8,5)&amp;"*")+SUMIFS(ExpExcl,ExpDocDate,"&gt;="&amp;DATE(YEAR(K$4),MONTH(K$4),1),ExpDocDate,"&lt;="&amp;K$4,ExpAccount,LEFT($A8,5)&amp;"*"),-SUMIFS(IncExcl,IncDocDate,"&gt;="&amp;DATE(YEAR(K$4),MONTH(K$4),1),IncDocDate,"&lt;="&amp;K$4,IncAccount,$A8)+SUMIFS(ExpExcl,ExpDocDate,"&gt;="&amp;DATE(YEAR(K$4),MONTH(K$4),1),ExpDocDate,"&lt;="&amp;K$4,ExpAccount,$A8))</f>
        <v>0</v>
      </c>
      <c r="L8" s="34" cm="1">
        <f t="array" aca="1" ref="L8" ca="1">K8+IF(RIGHT($A8,1)="G",-SUMIFS(IncExcl,IncDocDate,"&gt;="&amp;DATE(YEAR(L$4),MONTH(L$4),1),IncDocDate,"&lt;="&amp;L$4,IncAccount,LEFT($A8,5)&amp;"*")+SUMIFS(ExpExcl,ExpDocDate,"&gt;="&amp;DATE(YEAR(L$4),MONTH(L$4),1),ExpDocDate,"&lt;="&amp;L$4,ExpAccount,LEFT($A8,5)&amp;"*"),-SUMIFS(IncExcl,IncDocDate,"&gt;="&amp;DATE(YEAR(L$4),MONTH(L$4),1),IncDocDate,"&lt;="&amp;L$4,IncAccount,$A8)+SUMIFS(ExpExcl,ExpDocDate,"&gt;="&amp;DATE(YEAR(L$4),MONTH(L$4),1),ExpDocDate,"&lt;="&amp;L$4,ExpAccount,$A8))</f>
        <v>0</v>
      </c>
      <c r="M8" s="34" cm="1">
        <f t="array" aca="1" ref="M8" ca="1">L8+IF(RIGHT($A8,1)="G",-SUMIFS(IncExcl,IncDocDate,"&gt;="&amp;DATE(YEAR(M$4),MONTH(M$4),1),IncDocDate,"&lt;="&amp;M$4,IncAccount,LEFT($A8,5)&amp;"*")+SUMIFS(ExpExcl,ExpDocDate,"&gt;="&amp;DATE(YEAR(M$4),MONTH(M$4),1),ExpDocDate,"&lt;="&amp;M$4,ExpAccount,LEFT($A8,5)&amp;"*"),-SUMIFS(IncExcl,IncDocDate,"&gt;="&amp;DATE(YEAR(M$4),MONTH(M$4),1),IncDocDate,"&lt;="&amp;M$4,IncAccount,$A8)+SUMIFS(ExpExcl,ExpDocDate,"&gt;="&amp;DATE(YEAR(M$4),MONTH(M$4),1),ExpDocDate,"&lt;="&amp;M$4,ExpAccount,$A8))</f>
        <v>0</v>
      </c>
      <c r="N8" s="34" cm="1">
        <f t="array" aca="1" ref="N8" ca="1">M8+IF(RIGHT($A8,1)="G",-SUMIFS(IncExcl,IncDocDate,"&gt;="&amp;DATE(YEAR(N$4),MONTH(N$4),1),IncDocDate,"&lt;="&amp;N$4,IncAccount,LEFT($A8,5)&amp;"*")+SUMIFS(ExpExcl,ExpDocDate,"&gt;="&amp;DATE(YEAR(N$4),MONTH(N$4),1),ExpDocDate,"&lt;="&amp;N$4,ExpAccount,LEFT($A8,5)&amp;"*"),-SUMIFS(IncExcl,IncDocDate,"&gt;="&amp;DATE(YEAR(N$4),MONTH(N$4),1),IncDocDate,"&lt;="&amp;N$4,IncAccount,$A8)+SUMIFS(ExpExcl,ExpDocDate,"&gt;="&amp;DATE(YEAR(N$4),MONTH(N$4),1),ExpDocDate,"&lt;="&amp;N$4,ExpAccount,$A8))</f>
        <v>0</v>
      </c>
      <c r="O8" s="34" cm="1">
        <f t="array" aca="1" ref="O8" ca="1">N8+IF(RIGHT($A8,1)="G",-SUMIFS(IncExcl,IncDocDate,"&gt;="&amp;DATE(YEAR(O$4),MONTH(O$4),1),IncDocDate,"&lt;="&amp;O$4,IncAccount,LEFT($A8,5)&amp;"*")+SUMIFS(ExpExcl,ExpDocDate,"&gt;="&amp;DATE(YEAR(O$4),MONTH(O$4),1),ExpDocDate,"&lt;="&amp;O$4,ExpAccount,LEFT($A8,5)&amp;"*"),-SUMIFS(IncExcl,IncDocDate,"&gt;="&amp;DATE(YEAR(O$4),MONTH(O$4),1),IncDocDate,"&lt;="&amp;O$4,IncAccount,$A8)+SUMIFS(ExpExcl,ExpDocDate,"&gt;="&amp;DATE(YEAR(O$4),MONTH(O$4),1),ExpDocDate,"&lt;="&amp;O$4,ExpAccount,$A8))</f>
        <v>0</v>
      </c>
      <c r="P8" s="188">
        <f t="shared" ref="P8:P11" ca="1" si="1">O8</f>
        <v>0</v>
      </c>
    </row>
    <row r="9" spans="1:16" ht="15.95" customHeight="1" x14ac:dyDescent="0.3">
      <c r="A9" s="284" t="s">
        <v>160</v>
      </c>
      <c r="B9" s="12" t="str">
        <f ca="1">IF(RIGHT($A9,1)="G",IF(ISNA(VLOOKUP(LEFT($A9,LEN($A9)-1),GroupAll,COLUMN(Groups!$B$4),0)),"Group Not Found",VLOOKUP(LEFT($A9,LEN($A9)-1),GroupAll,COLUMN(Groups!$B$4),0)),IF(ISNA(VLOOKUP($A9,AccountAll,COLUMN(TB!$B$4),0)),"Account Not Found",VLOOKUP($A9,AccountAll,COLUMN(TB!$B$4),0)))</f>
        <v>Intangible Assets - Cost</v>
      </c>
      <c r="C9" s="34" cm="1">
        <f t="array" aca="1" ref="C9" ca="1">IF(RIGHT($A9,1)="G",SUMIF(AccountAll,LEFT($A9,5)&amp;"*",AccountOpen),SUMIF(AccountAll,$A9,AccountOpen))</f>
        <v>0</v>
      </c>
      <c r="D9" s="34" cm="1">
        <f t="array" aca="1" ref="D9" ca="1">C9+IF(RIGHT($A9,1)="G",-SUMIFS(IncExcl,IncDocDate,"&gt;="&amp;DATE(YEAR(D$4),MONTH(D$4),1),IncDocDate,"&lt;="&amp;D$4,IncAccount,LEFT($A9,5)&amp;"*")+SUMIFS(ExpExcl,ExpDocDate,"&gt;="&amp;DATE(YEAR(D$4),MONTH(D$4),1),ExpDocDate,"&lt;="&amp;D$4,ExpAccount,LEFT($A9,5)&amp;"*"),-SUMIFS(IncExcl,IncDocDate,"&gt;="&amp;DATE(YEAR(D$4),MONTH(D$4),1),IncDocDate,"&lt;="&amp;D$4,IncAccount,$A9)+SUMIFS(ExpExcl,ExpDocDate,"&gt;="&amp;DATE(YEAR(D$4),MONTH(D$4),1),ExpDocDate,"&lt;="&amp;D$4,ExpAccount,$A9))</f>
        <v>0</v>
      </c>
      <c r="E9" s="34" cm="1">
        <f t="array" aca="1" ref="E9" ca="1">D9+IF(RIGHT($A9,1)="G",-SUMIFS(IncExcl,IncDocDate,"&gt;="&amp;DATE(YEAR(E$4),MONTH(E$4),1),IncDocDate,"&lt;="&amp;E$4,IncAccount,LEFT($A9,5)&amp;"*")+SUMIFS(ExpExcl,ExpDocDate,"&gt;="&amp;DATE(YEAR(E$4),MONTH(E$4),1),ExpDocDate,"&lt;="&amp;E$4,ExpAccount,LEFT($A9,5)&amp;"*"),-SUMIFS(IncExcl,IncDocDate,"&gt;="&amp;DATE(YEAR(E$4),MONTH(E$4),1),IncDocDate,"&lt;="&amp;E$4,IncAccount,$A9)+SUMIFS(ExpExcl,ExpDocDate,"&gt;="&amp;DATE(YEAR(E$4),MONTH(E$4),1),ExpDocDate,"&lt;="&amp;E$4,ExpAccount,$A9))</f>
        <v>0</v>
      </c>
      <c r="F9" s="34" cm="1">
        <f t="array" aca="1" ref="F9" ca="1">E9+IF(RIGHT($A9,1)="G",-SUMIFS(IncExcl,IncDocDate,"&gt;="&amp;DATE(YEAR(F$4),MONTH(F$4),1),IncDocDate,"&lt;="&amp;F$4,IncAccount,LEFT($A9,5)&amp;"*")+SUMIFS(ExpExcl,ExpDocDate,"&gt;="&amp;DATE(YEAR(F$4),MONTH(F$4),1),ExpDocDate,"&lt;="&amp;F$4,ExpAccount,LEFT($A9,5)&amp;"*"),-SUMIFS(IncExcl,IncDocDate,"&gt;="&amp;DATE(YEAR(F$4),MONTH(F$4),1),IncDocDate,"&lt;="&amp;F$4,IncAccount,$A9)+SUMIFS(ExpExcl,ExpDocDate,"&gt;="&amp;DATE(YEAR(F$4),MONTH(F$4),1),ExpDocDate,"&lt;="&amp;F$4,ExpAccount,$A9))</f>
        <v>0</v>
      </c>
      <c r="G9" s="34" cm="1">
        <f t="array" aca="1" ref="G9" ca="1">F9+IF(RIGHT($A9,1)="G",-SUMIFS(IncExcl,IncDocDate,"&gt;="&amp;DATE(YEAR(G$4),MONTH(G$4),1),IncDocDate,"&lt;="&amp;G$4,IncAccount,LEFT($A9,5)&amp;"*")+SUMIFS(ExpExcl,ExpDocDate,"&gt;="&amp;DATE(YEAR(G$4),MONTH(G$4),1),ExpDocDate,"&lt;="&amp;G$4,ExpAccount,LEFT($A9,5)&amp;"*"),-SUMIFS(IncExcl,IncDocDate,"&gt;="&amp;DATE(YEAR(G$4),MONTH(G$4),1),IncDocDate,"&lt;="&amp;G$4,IncAccount,$A9)+SUMIFS(ExpExcl,ExpDocDate,"&gt;="&amp;DATE(YEAR(G$4),MONTH(G$4),1),ExpDocDate,"&lt;="&amp;G$4,ExpAccount,$A9))</f>
        <v>0</v>
      </c>
      <c r="H9" s="34" cm="1">
        <f t="array" aca="1" ref="H9" ca="1">G9+IF(RIGHT($A9,1)="G",-SUMIFS(IncExcl,IncDocDate,"&gt;="&amp;DATE(YEAR(H$4),MONTH(H$4),1),IncDocDate,"&lt;="&amp;H$4,IncAccount,LEFT($A9,5)&amp;"*")+SUMIFS(ExpExcl,ExpDocDate,"&gt;="&amp;DATE(YEAR(H$4),MONTH(H$4),1),ExpDocDate,"&lt;="&amp;H$4,ExpAccount,LEFT($A9,5)&amp;"*"),-SUMIFS(IncExcl,IncDocDate,"&gt;="&amp;DATE(YEAR(H$4),MONTH(H$4),1),IncDocDate,"&lt;="&amp;H$4,IncAccount,$A9)+SUMIFS(ExpExcl,ExpDocDate,"&gt;="&amp;DATE(YEAR(H$4),MONTH(H$4),1),ExpDocDate,"&lt;="&amp;H$4,ExpAccount,$A9))</f>
        <v>0</v>
      </c>
      <c r="I9" s="34" cm="1">
        <f t="array" aca="1" ref="I9" ca="1">H9+IF(RIGHT($A9,1)="G",-SUMIFS(IncExcl,IncDocDate,"&gt;="&amp;DATE(YEAR(I$4),MONTH(I$4),1),IncDocDate,"&lt;="&amp;I$4,IncAccount,LEFT($A9,5)&amp;"*")+SUMIFS(ExpExcl,ExpDocDate,"&gt;="&amp;DATE(YEAR(I$4),MONTH(I$4),1),ExpDocDate,"&lt;="&amp;I$4,ExpAccount,LEFT($A9,5)&amp;"*"),-SUMIFS(IncExcl,IncDocDate,"&gt;="&amp;DATE(YEAR(I$4),MONTH(I$4),1),IncDocDate,"&lt;="&amp;I$4,IncAccount,$A9)+SUMIFS(ExpExcl,ExpDocDate,"&gt;="&amp;DATE(YEAR(I$4),MONTH(I$4),1),ExpDocDate,"&lt;="&amp;I$4,ExpAccount,$A9))</f>
        <v>0</v>
      </c>
      <c r="J9" s="34" cm="1">
        <f t="array" aca="1" ref="J9" ca="1">I9+IF(RIGHT($A9,1)="G",-SUMIFS(IncExcl,IncDocDate,"&gt;="&amp;DATE(YEAR(J$4),MONTH(J$4),1),IncDocDate,"&lt;="&amp;J$4,IncAccount,LEFT($A9,5)&amp;"*")+SUMIFS(ExpExcl,ExpDocDate,"&gt;="&amp;DATE(YEAR(J$4),MONTH(J$4),1),ExpDocDate,"&lt;="&amp;J$4,ExpAccount,LEFT($A9,5)&amp;"*"),-SUMIFS(IncExcl,IncDocDate,"&gt;="&amp;DATE(YEAR(J$4),MONTH(J$4),1),IncDocDate,"&lt;="&amp;J$4,IncAccount,$A9)+SUMIFS(ExpExcl,ExpDocDate,"&gt;="&amp;DATE(YEAR(J$4),MONTH(J$4),1),ExpDocDate,"&lt;="&amp;J$4,ExpAccount,$A9))</f>
        <v>0</v>
      </c>
      <c r="K9" s="34" cm="1">
        <f t="array" aca="1" ref="K9" ca="1">J9+IF(RIGHT($A9,1)="G",-SUMIFS(IncExcl,IncDocDate,"&gt;="&amp;DATE(YEAR(K$4),MONTH(K$4),1),IncDocDate,"&lt;="&amp;K$4,IncAccount,LEFT($A9,5)&amp;"*")+SUMIFS(ExpExcl,ExpDocDate,"&gt;="&amp;DATE(YEAR(K$4),MONTH(K$4),1),ExpDocDate,"&lt;="&amp;K$4,ExpAccount,LEFT($A9,5)&amp;"*"),-SUMIFS(IncExcl,IncDocDate,"&gt;="&amp;DATE(YEAR(K$4),MONTH(K$4),1),IncDocDate,"&lt;="&amp;K$4,IncAccount,$A9)+SUMIFS(ExpExcl,ExpDocDate,"&gt;="&amp;DATE(YEAR(K$4),MONTH(K$4),1),ExpDocDate,"&lt;="&amp;K$4,ExpAccount,$A9))</f>
        <v>0</v>
      </c>
      <c r="L9" s="34" cm="1">
        <f t="array" aca="1" ref="L9" ca="1">K9+IF(RIGHT($A9,1)="G",-SUMIFS(IncExcl,IncDocDate,"&gt;="&amp;DATE(YEAR(L$4),MONTH(L$4),1),IncDocDate,"&lt;="&amp;L$4,IncAccount,LEFT($A9,5)&amp;"*")+SUMIFS(ExpExcl,ExpDocDate,"&gt;="&amp;DATE(YEAR(L$4),MONTH(L$4),1),ExpDocDate,"&lt;="&amp;L$4,ExpAccount,LEFT($A9,5)&amp;"*"),-SUMIFS(IncExcl,IncDocDate,"&gt;="&amp;DATE(YEAR(L$4),MONTH(L$4),1),IncDocDate,"&lt;="&amp;L$4,IncAccount,$A9)+SUMIFS(ExpExcl,ExpDocDate,"&gt;="&amp;DATE(YEAR(L$4),MONTH(L$4),1),ExpDocDate,"&lt;="&amp;L$4,ExpAccount,$A9))</f>
        <v>0</v>
      </c>
      <c r="M9" s="34" cm="1">
        <f t="array" aca="1" ref="M9" ca="1">L9+IF(RIGHT($A9,1)="G",-SUMIFS(IncExcl,IncDocDate,"&gt;="&amp;DATE(YEAR(M$4),MONTH(M$4),1),IncDocDate,"&lt;="&amp;M$4,IncAccount,LEFT($A9,5)&amp;"*")+SUMIFS(ExpExcl,ExpDocDate,"&gt;="&amp;DATE(YEAR(M$4),MONTH(M$4),1),ExpDocDate,"&lt;="&amp;M$4,ExpAccount,LEFT($A9,5)&amp;"*"),-SUMIFS(IncExcl,IncDocDate,"&gt;="&amp;DATE(YEAR(M$4),MONTH(M$4),1),IncDocDate,"&lt;="&amp;M$4,IncAccount,$A9)+SUMIFS(ExpExcl,ExpDocDate,"&gt;="&amp;DATE(YEAR(M$4),MONTH(M$4),1),ExpDocDate,"&lt;="&amp;M$4,ExpAccount,$A9))</f>
        <v>0</v>
      </c>
      <c r="N9" s="34" cm="1">
        <f t="array" aca="1" ref="N9" ca="1">M9+IF(RIGHT($A9,1)="G",-SUMIFS(IncExcl,IncDocDate,"&gt;="&amp;DATE(YEAR(N$4),MONTH(N$4),1),IncDocDate,"&lt;="&amp;N$4,IncAccount,LEFT($A9,5)&amp;"*")+SUMIFS(ExpExcl,ExpDocDate,"&gt;="&amp;DATE(YEAR(N$4),MONTH(N$4),1),ExpDocDate,"&lt;="&amp;N$4,ExpAccount,LEFT($A9,5)&amp;"*"),-SUMIFS(IncExcl,IncDocDate,"&gt;="&amp;DATE(YEAR(N$4),MONTH(N$4),1),IncDocDate,"&lt;="&amp;N$4,IncAccount,$A9)+SUMIFS(ExpExcl,ExpDocDate,"&gt;="&amp;DATE(YEAR(N$4),MONTH(N$4),1),ExpDocDate,"&lt;="&amp;N$4,ExpAccount,$A9))</f>
        <v>0</v>
      </c>
      <c r="O9" s="34" cm="1">
        <f t="array" aca="1" ref="O9" ca="1">N9+IF(RIGHT($A9,1)="G",-SUMIFS(IncExcl,IncDocDate,"&gt;="&amp;DATE(YEAR(O$4),MONTH(O$4),1),IncDocDate,"&lt;="&amp;O$4,IncAccount,LEFT($A9,5)&amp;"*")+SUMIFS(ExpExcl,ExpDocDate,"&gt;="&amp;DATE(YEAR(O$4),MONTH(O$4),1),ExpDocDate,"&lt;="&amp;O$4,ExpAccount,LEFT($A9,5)&amp;"*"),-SUMIFS(IncExcl,IncDocDate,"&gt;="&amp;DATE(YEAR(O$4),MONTH(O$4),1),IncDocDate,"&lt;="&amp;O$4,IncAccount,$A9)+SUMIFS(ExpExcl,ExpDocDate,"&gt;="&amp;DATE(YEAR(O$4),MONTH(O$4),1),ExpDocDate,"&lt;="&amp;O$4,ExpAccount,$A9))</f>
        <v>0</v>
      </c>
      <c r="P9" s="188">
        <f t="shared" ca="1" si="1"/>
        <v>0</v>
      </c>
    </row>
    <row r="10" spans="1:16" ht="15.95" customHeight="1" x14ac:dyDescent="0.3">
      <c r="A10" s="284" t="s">
        <v>158</v>
      </c>
      <c r="B10" s="12" t="str">
        <f ca="1">IF(RIGHT($A10,1)="G",IF(ISNA(VLOOKUP(LEFT($A10,LEN($A10)-1),GroupAll,COLUMN(Groups!$B$4),0)),"Group Not Found",VLOOKUP(LEFT($A10,LEN($A10)-1),GroupAll,COLUMN(Groups!$B$4),0)),IF(ISNA(VLOOKUP($A10,AccountAll,COLUMN(TB!$B$4),0)),"Account Not Found",VLOOKUP($A10,AccountAll,COLUMN(TB!$B$4),0)))</f>
        <v>Intangible Assets - Amortization</v>
      </c>
      <c r="C10" s="34" cm="1">
        <f t="array" aca="1" ref="C10" ca="1">IF(RIGHT($A10,1)="G",SUMIF(AccountAll,LEFT($A10,5)&amp;"*",AccountOpen),SUMIF(AccountAll,$A10,AccountOpen))</f>
        <v>0</v>
      </c>
      <c r="D10" s="34" cm="1">
        <f t="array" aca="1" ref="D10" ca="1">C10+IF(RIGHT($A10,1)="G",-SUMIFS(IncExcl,IncDocDate,"&gt;="&amp;DATE(YEAR(D$4),MONTH(D$4),1),IncDocDate,"&lt;="&amp;D$4,IncAccount,LEFT($A10,5)&amp;"*")+SUMIFS(ExpExcl,ExpDocDate,"&gt;="&amp;DATE(YEAR(D$4),MONTH(D$4),1),ExpDocDate,"&lt;="&amp;D$4,ExpAccount,LEFT($A10,5)&amp;"*"),-SUMIFS(IncExcl,IncDocDate,"&gt;="&amp;DATE(YEAR(D$4),MONTH(D$4),1),IncDocDate,"&lt;="&amp;D$4,IncAccount,$A10)+SUMIFS(ExpExcl,ExpDocDate,"&gt;="&amp;DATE(YEAR(D$4),MONTH(D$4),1),ExpDocDate,"&lt;="&amp;D$4,ExpAccount,$A10))</f>
        <v>0</v>
      </c>
      <c r="E10" s="34" cm="1">
        <f t="array" aca="1" ref="E10" ca="1">D10+IF(RIGHT($A10,1)="G",-SUMIFS(IncExcl,IncDocDate,"&gt;="&amp;DATE(YEAR(E$4),MONTH(E$4),1),IncDocDate,"&lt;="&amp;E$4,IncAccount,LEFT($A10,5)&amp;"*")+SUMIFS(ExpExcl,ExpDocDate,"&gt;="&amp;DATE(YEAR(E$4),MONTH(E$4),1),ExpDocDate,"&lt;="&amp;E$4,ExpAccount,LEFT($A10,5)&amp;"*"),-SUMIFS(IncExcl,IncDocDate,"&gt;="&amp;DATE(YEAR(E$4),MONTH(E$4),1),IncDocDate,"&lt;="&amp;E$4,IncAccount,$A10)+SUMIFS(ExpExcl,ExpDocDate,"&gt;="&amp;DATE(YEAR(E$4),MONTH(E$4),1),ExpDocDate,"&lt;="&amp;E$4,ExpAccount,$A10))</f>
        <v>0</v>
      </c>
      <c r="F10" s="34" cm="1">
        <f t="array" aca="1" ref="F10" ca="1">E10+IF(RIGHT($A10,1)="G",-SUMIFS(IncExcl,IncDocDate,"&gt;="&amp;DATE(YEAR(F$4),MONTH(F$4),1),IncDocDate,"&lt;="&amp;F$4,IncAccount,LEFT($A10,5)&amp;"*")+SUMIFS(ExpExcl,ExpDocDate,"&gt;="&amp;DATE(YEAR(F$4),MONTH(F$4),1),ExpDocDate,"&lt;="&amp;F$4,ExpAccount,LEFT($A10,5)&amp;"*"),-SUMIFS(IncExcl,IncDocDate,"&gt;="&amp;DATE(YEAR(F$4),MONTH(F$4),1),IncDocDate,"&lt;="&amp;F$4,IncAccount,$A10)+SUMIFS(ExpExcl,ExpDocDate,"&gt;="&amp;DATE(YEAR(F$4),MONTH(F$4),1),ExpDocDate,"&lt;="&amp;F$4,ExpAccount,$A10))</f>
        <v>0</v>
      </c>
      <c r="G10" s="34" cm="1">
        <f t="array" aca="1" ref="G10" ca="1">F10+IF(RIGHT($A10,1)="G",-SUMIFS(IncExcl,IncDocDate,"&gt;="&amp;DATE(YEAR(G$4),MONTH(G$4),1),IncDocDate,"&lt;="&amp;G$4,IncAccount,LEFT($A10,5)&amp;"*")+SUMIFS(ExpExcl,ExpDocDate,"&gt;="&amp;DATE(YEAR(G$4),MONTH(G$4),1),ExpDocDate,"&lt;="&amp;G$4,ExpAccount,LEFT($A10,5)&amp;"*"),-SUMIFS(IncExcl,IncDocDate,"&gt;="&amp;DATE(YEAR(G$4),MONTH(G$4),1),IncDocDate,"&lt;="&amp;G$4,IncAccount,$A10)+SUMIFS(ExpExcl,ExpDocDate,"&gt;="&amp;DATE(YEAR(G$4),MONTH(G$4),1),ExpDocDate,"&lt;="&amp;G$4,ExpAccount,$A10))</f>
        <v>0</v>
      </c>
      <c r="H10" s="34" cm="1">
        <f t="array" aca="1" ref="H10" ca="1">G10+IF(RIGHT($A10,1)="G",-SUMIFS(IncExcl,IncDocDate,"&gt;="&amp;DATE(YEAR(H$4),MONTH(H$4),1),IncDocDate,"&lt;="&amp;H$4,IncAccount,LEFT($A10,5)&amp;"*")+SUMIFS(ExpExcl,ExpDocDate,"&gt;="&amp;DATE(YEAR(H$4),MONTH(H$4),1),ExpDocDate,"&lt;="&amp;H$4,ExpAccount,LEFT($A10,5)&amp;"*"),-SUMIFS(IncExcl,IncDocDate,"&gt;="&amp;DATE(YEAR(H$4),MONTH(H$4),1),IncDocDate,"&lt;="&amp;H$4,IncAccount,$A10)+SUMIFS(ExpExcl,ExpDocDate,"&gt;="&amp;DATE(YEAR(H$4),MONTH(H$4),1),ExpDocDate,"&lt;="&amp;H$4,ExpAccount,$A10))</f>
        <v>0</v>
      </c>
      <c r="I10" s="34" cm="1">
        <f t="array" aca="1" ref="I10" ca="1">H10+IF(RIGHT($A10,1)="G",-SUMIFS(IncExcl,IncDocDate,"&gt;="&amp;DATE(YEAR(I$4),MONTH(I$4),1),IncDocDate,"&lt;="&amp;I$4,IncAccount,LEFT($A10,5)&amp;"*")+SUMIFS(ExpExcl,ExpDocDate,"&gt;="&amp;DATE(YEAR(I$4),MONTH(I$4),1),ExpDocDate,"&lt;="&amp;I$4,ExpAccount,LEFT($A10,5)&amp;"*"),-SUMIFS(IncExcl,IncDocDate,"&gt;="&amp;DATE(YEAR(I$4),MONTH(I$4),1),IncDocDate,"&lt;="&amp;I$4,IncAccount,$A10)+SUMIFS(ExpExcl,ExpDocDate,"&gt;="&amp;DATE(YEAR(I$4),MONTH(I$4),1),ExpDocDate,"&lt;="&amp;I$4,ExpAccount,$A10))</f>
        <v>0</v>
      </c>
      <c r="J10" s="34" cm="1">
        <f t="array" aca="1" ref="J10" ca="1">I10+IF(RIGHT($A10,1)="G",-SUMIFS(IncExcl,IncDocDate,"&gt;="&amp;DATE(YEAR(J$4),MONTH(J$4),1),IncDocDate,"&lt;="&amp;J$4,IncAccount,LEFT($A10,5)&amp;"*")+SUMIFS(ExpExcl,ExpDocDate,"&gt;="&amp;DATE(YEAR(J$4),MONTH(J$4),1),ExpDocDate,"&lt;="&amp;J$4,ExpAccount,LEFT($A10,5)&amp;"*"),-SUMIFS(IncExcl,IncDocDate,"&gt;="&amp;DATE(YEAR(J$4),MONTH(J$4),1),IncDocDate,"&lt;="&amp;J$4,IncAccount,$A10)+SUMIFS(ExpExcl,ExpDocDate,"&gt;="&amp;DATE(YEAR(J$4),MONTH(J$4),1),ExpDocDate,"&lt;="&amp;J$4,ExpAccount,$A10))</f>
        <v>0</v>
      </c>
      <c r="K10" s="34" cm="1">
        <f t="array" aca="1" ref="K10" ca="1">J10+IF(RIGHT($A10,1)="G",-SUMIFS(IncExcl,IncDocDate,"&gt;="&amp;DATE(YEAR(K$4),MONTH(K$4),1),IncDocDate,"&lt;="&amp;K$4,IncAccount,LEFT($A10,5)&amp;"*")+SUMIFS(ExpExcl,ExpDocDate,"&gt;="&amp;DATE(YEAR(K$4),MONTH(K$4),1),ExpDocDate,"&lt;="&amp;K$4,ExpAccount,LEFT($A10,5)&amp;"*"),-SUMIFS(IncExcl,IncDocDate,"&gt;="&amp;DATE(YEAR(K$4),MONTH(K$4),1),IncDocDate,"&lt;="&amp;K$4,IncAccount,$A10)+SUMIFS(ExpExcl,ExpDocDate,"&gt;="&amp;DATE(YEAR(K$4),MONTH(K$4),1),ExpDocDate,"&lt;="&amp;K$4,ExpAccount,$A10))</f>
        <v>0</v>
      </c>
      <c r="L10" s="34" cm="1">
        <f t="array" aca="1" ref="L10" ca="1">K10+IF(RIGHT($A10,1)="G",-SUMIFS(IncExcl,IncDocDate,"&gt;="&amp;DATE(YEAR(L$4),MONTH(L$4),1),IncDocDate,"&lt;="&amp;L$4,IncAccount,LEFT($A10,5)&amp;"*")+SUMIFS(ExpExcl,ExpDocDate,"&gt;="&amp;DATE(YEAR(L$4),MONTH(L$4),1),ExpDocDate,"&lt;="&amp;L$4,ExpAccount,LEFT($A10,5)&amp;"*"),-SUMIFS(IncExcl,IncDocDate,"&gt;="&amp;DATE(YEAR(L$4),MONTH(L$4),1),IncDocDate,"&lt;="&amp;L$4,IncAccount,$A10)+SUMIFS(ExpExcl,ExpDocDate,"&gt;="&amp;DATE(YEAR(L$4),MONTH(L$4),1),ExpDocDate,"&lt;="&amp;L$4,ExpAccount,$A10))</f>
        <v>0</v>
      </c>
      <c r="M10" s="34" cm="1">
        <f t="array" aca="1" ref="M10" ca="1">L10+IF(RIGHT($A10,1)="G",-SUMIFS(IncExcl,IncDocDate,"&gt;="&amp;DATE(YEAR(M$4),MONTH(M$4),1),IncDocDate,"&lt;="&amp;M$4,IncAccount,LEFT($A10,5)&amp;"*")+SUMIFS(ExpExcl,ExpDocDate,"&gt;="&amp;DATE(YEAR(M$4),MONTH(M$4),1),ExpDocDate,"&lt;="&amp;M$4,ExpAccount,LEFT($A10,5)&amp;"*"),-SUMIFS(IncExcl,IncDocDate,"&gt;="&amp;DATE(YEAR(M$4),MONTH(M$4),1),IncDocDate,"&lt;="&amp;M$4,IncAccount,$A10)+SUMIFS(ExpExcl,ExpDocDate,"&gt;="&amp;DATE(YEAR(M$4),MONTH(M$4),1),ExpDocDate,"&lt;="&amp;M$4,ExpAccount,$A10))</f>
        <v>0</v>
      </c>
      <c r="N10" s="34" cm="1">
        <f t="array" aca="1" ref="N10" ca="1">M10+IF(RIGHT($A10,1)="G",-SUMIFS(IncExcl,IncDocDate,"&gt;="&amp;DATE(YEAR(N$4),MONTH(N$4),1),IncDocDate,"&lt;="&amp;N$4,IncAccount,LEFT($A10,5)&amp;"*")+SUMIFS(ExpExcl,ExpDocDate,"&gt;="&amp;DATE(YEAR(N$4),MONTH(N$4),1),ExpDocDate,"&lt;="&amp;N$4,ExpAccount,LEFT($A10,5)&amp;"*"),-SUMIFS(IncExcl,IncDocDate,"&gt;="&amp;DATE(YEAR(N$4),MONTH(N$4),1),IncDocDate,"&lt;="&amp;N$4,IncAccount,$A10)+SUMIFS(ExpExcl,ExpDocDate,"&gt;="&amp;DATE(YEAR(N$4),MONTH(N$4),1),ExpDocDate,"&lt;="&amp;N$4,ExpAccount,$A10))</f>
        <v>0</v>
      </c>
      <c r="O10" s="34" cm="1">
        <f t="array" aca="1" ref="O10" ca="1">N10+IF(RIGHT($A10,1)="G",-SUMIFS(IncExcl,IncDocDate,"&gt;="&amp;DATE(YEAR(O$4),MONTH(O$4),1),IncDocDate,"&lt;="&amp;O$4,IncAccount,LEFT($A10,5)&amp;"*")+SUMIFS(ExpExcl,ExpDocDate,"&gt;="&amp;DATE(YEAR(O$4),MONTH(O$4),1),ExpDocDate,"&lt;="&amp;O$4,ExpAccount,LEFT($A10,5)&amp;"*"),-SUMIFS(IncExcl,IncDocDate,"&gt;="&amp;DATE(YEAR(O$4),MONTH(O$4),1),IncDocDate,"&lt;="&amp;O$4,IncAccount,$A10)+SUMIFS(ExpExcl,ExpDocDate,"&gt;="&amp;DATE(YEAR(O$4),MONTH(O$4),1),ExpDocDate,"&lt;="&amp;O$4,ExpAccount,$A10))</f>
        <v>0</v>
      </c>
      <c r="P10" s="188">
        <f t="shared" ca="1" si="1"/>
        <v>0</v>
      </c>
    </row>
    <row r="11" spans="1:16" ht="15.95" customHeight="1" x14ac:dyDescent="0.3">
      <c r="A11" s="284" t="s">
        <v>159</v>
      </c>
      <c r="B11" s="12" t="str">
        <f ca="1">IF(RIGHT($A11,1)="G",IF(ISNA(VLOOKUP(LEFT($A11,LEN($A11)-1),GroupAll,COLUMN(Groups!$B$4),0)),"Group Not Found",VLOOKUP(LEFT($A11,LEN($A11)-1),GroupAll,COLUMN(Groups!$B$4),0)),IF(ISNA(VLOOKUP($A11,AccountAll,COLUMN(TB!$B$4),0)),"Account Not Found",VLOOKUP($A11,AccountAll,COLUMN(TB!$B$4),0)))</f>
        <v>Investments</v>
      </c>
      <c r="C11" s="34" cm="1">
        <f t="array" aca="1" ref="C11" ca="1">IF(RIGHT($A11,1)="G",SUMIF(AccountAll,LEFT($A11,5)&amp;"*",AccountOpen),SUMIF(AccountAll,$A11,AccountOpen))</f>
        <v>0</v>
      </c>
      <c r="D11" s="34" cm="1">
        <f t="array" aca="1" ref="D11" ca="1">C11+IF(RIGHT($A11,1)="G",-SUMIFS(IncExcl,IncDocDate,"&gt;="&amp;DATE(YEAR(D$4),MONTH(D$4),1),IncDocDate,"&lt;="&amp;D$4,IncAccount,LEFT($A11,5)&amp;"*")+SUMIFS(ExpExcl,ExpDocDate,"&gt;="&amp;DATE(YEAR(D$4),MONTH(D$4),1),ExpDocDate,"&lt;="&amp;D$4,ExpAccount,LEFT($A11,5)&amp;"*"),-SUMIFS(IncExcl,IncDocDate,"&gt;="&amp;DATE(YEAR(D$4),MONTH(D$4),1),IncDocDate,"&lt;="&amp;D$4,IncAccount,$A11)+SUMIFS(ExpExcl,ExpDocDate,"&gt;="&amp;DATE(YEAR(D$4),MONTH(D$4),1),ExpDocDate,"&lt;="&amp;D$4,ExpAccount,$A11))</f>
        <v>0</v>
      </c>
      <c r="E11" s="34" cm="1">
        <f t="array" aca="1" ref="E11" ca="1">D11+IF(RIGHT($A11,1)="G",-SUMIFS(IncExcl,IncDocDate,"&gt;="&amp;DATE(YEAR(E$4),MONTH(E$4),1),IncDocDate,"&lt;="&amp;E$4,IncAccount,LEFT($A11,5)&amp;"*")+SUMIFS(ExpExcl,ExpDocDate,"&gt;="&amp;DATE(YEAR(E$4),MONTH(E$4),1),ExpDocDate,"&lt;="&amp;E$4,ExpAccount,LEFT($A11,5)&amp;"*"),-SUMIFS(IncExcl,IncDocDate,"&gt;="&amp;DATE(YEAR(E$4),MONTH(E$4),1),IncDocDate,"&lt;="&amp;E$4,IncAccount,$A11)+SUMIFS(ExpExcl,ExpDocDate,"&gt;="&amp;DATE(YEAR(E$4),MONTH(E$4),1),ExpDocDate,"&lt;="&amp;E$4,ExpAccount,$A11))</f>
        <v>0</v>
      </c>
      <c r="F11" s="34" cm="1">
        <f t="array" aca="1" ref="F11" ca="1">E11+IF(RIGHT($A11,1)="G",-SUMIFS(IncExcl,IncDocDate,"&gt;="&amp;DATE(YEAR(F$4),MONTH(F$4),1),IncDocDate,"&lt;="&amp;F$4,IncAccount,LEFT($A11,5)&amp;"*")+SUMIFS(ExpExcl,ExpDocDate,"&gt;="&amp;DATE(YEAR(F$4),MONTH(F$4),1),ExpDocDate,"&lt;="&amp;F$4,ExpAccount,LEFT($A11,5)&amp;"*"),-SUMIFS(IncExcl,IncDocDate,"&gt;="&amp;DATE(YEAR(F$4),MONTH(F$4),1),IncDocDate,"&lt;="&amp;F$4,IncAccount,$A11)+SUMIFS(ExpExcl,ExpDocDate,"&gt;="&amp;DATE(YEAR(F$4),MONTH(F$4),1),ExpDocDate,"&lt;="&amp;F$4,ExpAccount,$A11))</f>
        <v>0</v>
      </c>
      <c r="G11" s="34" cm="1">
        <f t="array" aca="1" ref="G11" ca="1">F11+IF(RIGHT($A11,1)="G",-SUMIFS(IncExcl,IncDocDate,"&gt;="&amp;DATE(YEAR(G$4),MONTH(G$4),1),IncDocDate,"&lt;="&amp;G$4,IncAccount,LEFT($A11,5)&amp;"*")+SUMIFS(ExpExcl,ExpDocDate,"&gt;="&amp;DATE(YEAR(G$4),MONTH(G$4),1),ExpDocDate,"&lt;="&amp;G$4,ExpAccount,LEFT($A11,5)&amp;"*"),-SUMIFS(IncExcl,IncDocDate,"&gt;="&amp;DATE(YEAR(G$4),MONTH(G$4),1),IncDocDate,"&lt;="&amp;G$4,IncAccount,$A11)+SUMIFS(ExpExcl,ExpDocDate,"&gt;="&amp;DATE(YEAR(G$4),MONTH(G$4),1),ExpDocDate,"&lt;="&amp;G$4,ExpAccount,$A11))</f>
        <v>0</v>
      </c>
      <c r="H11" s="34" cm="1">
        <f t="array" aca="1" ref="H11" ca="1">G11+IF(RIGHT($A11,1)="G",-SUMIFS(IncExcl,IncDocDate,"&gt;="&amp;DATE(YEAR(H$4),MONTH(H$4),1),IncDocDate,"&lt;="&amp;H$4,IncAccount,LEFT($A11,5)&amp;"*")+SUMIFS(ExpExcl,ExpDocDate,"&gt;="&amp;DATE(YEAR(H$4),MONTH(H$4),1),ExpDocDate,"&lt;="&amp;H$4,ExpAccount,LEFT($A11,5)&amp;"*"),-SUMIFS(IncExcl,IncDocDate,"&gt;="&amp;DATE(YEAR(H$4),MONTH(H$4),1),IncDocDate,"&lt;="&amp;H$4,IncAccount,$A11)+SUMIFS(ExpExcl,ExpDocDate,"&gt;="&amp;DATE(YEAR(H$4),MONTH(H$4),1),ExpDocDate,"&lt;="&amp;H$4,ExpAccount,$A11))</f>
        <v>0</v>
      </c>
      <c r="I11" s="34" cm="1">
        <f t="array" aca="1" ref="I11" ca="1">H11+IF(RIGHT($A11,1)="G",-SUMIFS(IncExcl,IncDocDate,"&gt;="&amp;DATE(YEAR(I$4),MONTH(I$4),1),IncDocDate,"&lt;="&amp;I$4,IncAccount,LEFT($A11,5)&amp;"*")+SUMIFS(ExpExcl,ExpDocDate,"&gt;="&amp;DATE(YEAR(I$4),MONTH(I$4),1),ExpDocDate,"&lt;="&amp;I$4,ExpAccount,LEFT($A11,5)&amp;"*"),-SUMIFS(IncExcl,IncDocDate,"&gt;="&amp;DATE(YEAR(I$4),MONTH(I$4),1),IncDocDate,"&lt;="&amp;I$4,IncAccount,$A11)+SUMIFS(ExpExcl,ExpDocDate,"&gt;="&amp;DATE(YEAR(I$4),MONTH(I$4),1),ExpDocDate,"&lt;="&amp;I$4,ExpAccount,$A11))</f>
        <v>0</v>
      </c>
      <c r="J11" s="34" cm="1">
        <f t="array" aca="1" ref="J11" ca="1">I11+IF(RIGHT($A11,1)="G",-SUMIFS(IncExcl,IncDocDate,"&gt;="&amp;DATE(YEAR(J$4),MONTH(J$4),1),IncDocDate,"&lt;="&amp;J$4,IncAccount,LEFT($A11,5)&amp;"*")+SUMIFS(ExpExcl,ExpDocDate,"&gt;="&amp;DATE(YEAR(J$4),MONTH(J$4),1),ExpDocDate,"&lt;="&amp;J$4,ExpAccount,LEFT($A11,5)&amp;"*"),-SUMIFS(IncExcl,IncDocDate,"&gt;="&amp;DATE(YEAR(J$4),MONTH(J$4),1),IncDocDate,"&lt;="&amp;J$4,IncAccount,$A11)+SUMIFS(ExpExcl,ExpDocDate,"&gt;="&amp;DATE(YEAR(J$4),MONTH(J$4),1),ExpDocDate,"&lt;="&amp;J$4,ExpAccount,$A11))</f>
        <v>0</v>
      </c>
      <c r="K11" s="34" cm="1">
        <f t="array" aca="1" ref="K11" ca="1">J11+IF(RIGHT($A11,1)="G",-SUMIFS(IncExcl,IncDocDate,"&gt;="&amp;DATE(YEAR(K$4),MONTH(K$4),1),IncDocDate,"&lt;="&amp;K$4,IncAccount,LEFT($A11,5)&amp;"*")+SUMIFS(ExpExcl,ExpDocDate,"&gt;="&amp;DATE(YEAR(K$4),MONTH(K$4),1),ExpDocDate,"&lt;="&amp;K$4,ExpAccount,LEFT($A11,5)&amp;"*"),-SUMIFS(IncExcl,IncDocDate,"&gt;="&amp;DATE(YEAR(K$4),MONTH(K$4),1),IncDocDate,"&lt;="&amp;K$4,IncAccount,$A11)+SUMIFS(ExpExcl,ExpDocDate,"&gt;="&amp;DATE(YEAR(K$4),MONTH(K$4),1),ExpDocDate,"&lt;="&amp;K$4,ExpAccount,$A11))</f>
        <v>0</v>
      </c>
      <c r="L11" s="34" cm="1">
        <f t="array" aca="1" ref="L11" ca="1">K11+IF(RIGHT($A11,1)="G",-SUMIFS(IncExcl,IncDocDate,"&gt;="&amp;DATE(YEAR(L$4),MONTH(L$4),1),IncDocDate,"&lt;="&amp;L$4,IncAccount,LEFT($A11,5)&amp;"*")+SUMIFS(ExpExcl,ExpDocDate,"&gt;="&amp;DATE(YEAR(L$4),MONTH(L$4),1),ExpDocDate,"&lt;="&amp;L$4,ExpAccount,LEFT($A11,5)&amp;"*"),-SUMIFS(IncExcl,IncDocDate,"&gt;="&amp;DATE(YEAR(L$4),MONTH(L$4),1),IncDocDate,"&lt;="&amp;L$4,IncAccount,$A11)+SUMIFS(ExpExcl,ExpDocDate,"&gt;="&amp;DATE(YEAR(L$4),MONTH(L$4),1),ExpDocDate,"&lt;="&amp;L$4,ExpAccount,$A11))</f>
        <v>0</v>
      </c>
      <c r="M11" s="34" cm="1">
        <f t="array" aca="1" ref="M11" ca="1">L11+IF(RIGHT($A11,1)="G",-SUMIFS(IncExcl,IncDocDate,"&gt;="&amp;DATE(YEAR(M$4),MONTH(M$4),1),IncDocDate,"&lt;="&amp;M$4,IncAccount,LEFT($A11,5)&amp;"*")+SUMIFS(ExpExcl,ExpDocDate,"&gt;="&amp;DATE(YEAR(M$4),MONTH(M$4),1),ExpDocDate,"&lt;="&amp;M$4,ExpAccount,LEFT($A11,5)&amp;"*"),-SUMIFS(IncExcl,IncDocDate,"&gt;="&amp;DATE(YEAR(M$4),MONTH(M$4),1),IncDocDate,"&lt;="&amp;M$4,IncAccount,$A11)+SUMIFS(ExpExcl,ExpDocDate,"&gt;="&amp;DATE(YEAR(M$4),MONTH(M$4),1),ExpDocDate,"&lt;="&amp;M$4,ExpAccount,$A11))</f>
        <v>0</v>
      </c>
      <c r="N11" s="34" cm="1">
        <f t="array" aca="1" ref="N11" ca="1">M11+IF(RIGHT($A11,1)="G",-SUMIFS(IncExcl,IncDocDate,"&gt;="&amp;DATE(YEAR(N$4),MONTH(N$4),1),IncDocDate,"&lt;="&amp;N$4,IncAccount,LEFT($A11,5)&amp;"*")+SUMIFS(ExpExcl,ExpDocDate,"&gt;="&amp;DATE(YEAR(N$4),MONTH(N$4),1),ExpDocDate,"&lt;="&amp;N$4,ExpAccount,LEFT($A11,5)&amp;"*"),-SUMIFS(IncExcl,IncDocDate,"&gt;="&amp;DATE(YEAR(N$4),MONTH(N$4),1),IncDocDate,"&lt;="&amp;N$4,IncAccount,$A11)+SUMIFS(ExpExcl,ExpDocDate,"&gt;="&amp;DATE(YEAR(N$4),MONTH(N$4),1),ExpDocDate,"&lt;="&amp;N$4,ExpAccount,$A11))</f>
        <v>0</v>
      </c>
      <c r="O11" s="34" cm="1">
        <f t="array" aca="1" ref="O11" ca="1">N11+IF(RIGHT($A11,1)="G",-SUMIFS(IncExcl,IncDocDate,"&gt;="&amp;DATE(YEAR(O$4),MONTH(O$4),1),IncDocDate,"&lt;="&amp;O$4,IncAccount,LEFT($A11,5)&amp;"*")+SUMIFS(ExpExcl,ExpDocDate,"&gt;="&amp;DATE(YEAR(O$4),MONTH(O$4),1),ExpDocDate,"&lt;="&amp;O$4,ExpAccount,LEFT($A11,5)&amp;"*"),-SUMIFS(IncExcl,IncDocDate,"&gt;="&amp;DATE(YEAR(O$4),MONTH(O$4),1),IncDocDate,"&lt;="&amp;O$4,IncAccount,$A11)+SUMIFS(ExpExcl,ExpDocDate,"&gt;="&amp;DATE(YEAR(O$4),MONTH(O$4),1),ExpDocDate,"&lt;="&amp;O$4,ExpAccount,$A11))</f>
        <v>0</v>
      </c>
      <c r="P11" s="188">
        <f t="shared" ca="1" si="1"/>
        <v>0</v>
      </c>
    </row>
    <row r="12" spans="1:16" ht="15.95" customHeight="1" thickBot="1" x14ac:dyDescent="0.35">
      <c r="C12" s="198">
        <f t="shared" ref="C12:P12" ca="1" si="2">SUM(C7:C11)</f>
        <v>0</v>
      </c>
      <c r="D12" s="198">
        <f t="shared" ca="1" si="2"/>
        <v>0</v>
      </c>
      <c r="E12" s="198">
        <f t="shared" ca="1" si="2"/>
        <v>0</v>
      </c>
      <c r="F12" s="198">
        <f t="shared" ca="1" si="2"/>
        <v>0</v>
      </c>
      <c r="G12" s="198">
        <f t="shared" ca="1" si="2"/>
        <v>0</v>
      </c>
      <c r="H12" s="198">
        <f t="shared" ca="1" si="2"/>
        <v>0</v>
      </c>
      <c r="I12" s="198">
        <f t="shared" ca="1" si="2"/>
        <v>0</v>
      </c>
      <c r="J12" s="198">
        <f t="shared" ca="1" si="2"/>
        <v>0</v>
      </c>
      <c r="K12" s="198">
        <f t="shared" ca="1" si="2"/>
        <v>0</v>
      </c>
      <c r="L12" s="198">
        <f t="shared" ca="1" si="2"/>
        <v>0</v>
      </c>
      <c r="M12" s="198">
        <f t="shared" ca="1" si="2"/>
        <v>0</v>
      </c>
      <c r="N12" s="198">
        <f t="shared" ca="1" si="2"/>
        <v>0</v>
      </c>
      <c r="O12" s="198">
        <f t="shared" ca="1" si="2"/>
        <v>0</v>
      </c>
      <c r="P12" s="133">
        <f t="shared" ca="1" si="2"/>
        <v>0</v>
      </c>
    </row>
    <row r="13" spans="1:16" ht="15.95" customHeight="1" x14ac:dyDescent="0.3">
      <c r="B13" s="56" t="s">
        <v>106</v>
      </c>
      <c r="C13" s="34"/>
      <c r="D13" s="34"/>
      <c r="H13" s="34"/>
      <c r="I13" s="34"/>
      <c r="J13" s="34"/>
      <c r="K13" s="34"/>
      <c r="L13" s="34"/>
      <c r="M13" s="34"/>
      <c r="N13" s="34"/>
      <c r="O13" s="34"/>
      <c r="P13" s="188"/>
    </row>
    <row r="14" spans="1:16" ht="15.95" customHeight="1" x14ac:dyDescent="0.3">
      <c r="A14" s="286" t="s">
        <v>161</v>
      </c>
      <c r="B14" s="12" t="str">
        <f ca="1">IF(RIGHT($A14,1)="G",IF(ISNA(VLOOKUP(LEFT($A14,LEN($A14)-1),GroupAll,COLUMN(Groups!$B$4),0)),"Group Not Found",VLOOKUP(LEFT($A14,LEN($A14)-1),GroupAll,COLUMN(Groups!$B$4),0)),IF(ISNA(VLOOKUP($A14,AccountAll,COLUMN(TB!$B$4),0)),"Account Not Found",VLOOKUP($A14,AccountAll,COLUMN(TB!$B$4),0)))</f>
        <v>Trade Debtors</v>
      </c>
      <c r="C14" s="34" cm="1">
        <f t="array" aca="1" ref="C14" ca="1">IF(RIGHT($A14,1)="G",SUMIF(AccountAll,LEFT($A14,5)&amp;"*",AccountOpen),SUMIF(AccountAll,$A14,AccountOpen))</f>
        <v>16435800.710000001</v>
      </c>
      <c r="D14" s="34">
        <f t="shared" ref="D14:O14" ca="1" si="3">SUMIFS(IncIncl,IncDocDate,"&lt;="&amp;D$4)-SUMIFS(IncPayAmount,IncDocDate,"&lt;="&amp;D$4,IncPayDate,"&lt;="&amp;D$4)</f>
        <v>105436297.20999999</v>
      </c>
      <c r="E14" s="34">
        <f t="shared" ca="1" si="3"/>
        <v>109641144.31</v>
      </c>
      <c r="F14" s="34">
        <f t="shared" ca="1" si="3"/>
        <v>109641144.31</v>
      </c>
      <c r="G14" s="34">
        <f t="shared" ca="1" si="3"/>
        <v>109641144.31</v>
      </c>
      <c r="H14" s="34">
        <f t="shared" ca="1" si="3"/>
        <v>109641144.31</v>
      </c>
      <c r="I14" s="34">
        <f t="shared" ca="1" si="3"/>
        <v>109641144.31</v>
      </c>
      <c r="J14" s="34">
        <f t="shared" ca="1" si="3"/>
        <v>109641144.31</v>
      </c>
      <c r="K14" s="34">
        <f t="shared" ca="1" si="3"/>
        <v>109641144.31</v>
      </c>
      <c r="L14" s="34">
        <f t="shared" ca="1" si="3"/>
        <v>109641144.31</v>
      </c>
      <c r="M14" s="34">
        <f t="shared" ca="1" si="3"/>
        <v>109641144.31</v>
      </c>
      <c r="N14" s="34">
        <f t="shared" ca="1" si="3"/>
        <v>109641144.31</v>
      </c>
      <c r="O14" s="34">
        <f t="shared" ca="1" si="3"/>
        <v>109641144.31</v>
      </c>
      <c r="P14" s="188">
        <f t="shared" ref="P14:P35" ca="1" si="4">O14</f>
        <v>109641144.31</v>
      </c>
    </row>
    <row r="15" spans="1:16" ht="15.95" customHeight="1" x14ac:dyDescent="0.3">
      <c r="A15" s="284" t="s">
        <v>162</v>
      </c>
      <c r="B15" s="12" t="str">
        <f ca="1">IF(RIGHT($A15,1)="G",IF(ISNA(VLOOKUP(LEFT($A15,LEN($A15)-1),GroupAll,COLUMN(Groups!$B$4),0)),"Group Not Found",VLOOKUP(LEFT($A15,LEN($A15)-1),GroupAll,COLUMN(Groups!$B$4),0)),IF(ISNA(VLOOKUP($A15,AccountAll,COLUMN(TB!$B$4),0)),"Account Not Found",VLOOKUP($A15,AccountAll,COLUMN(TB!$B$4),0)))</f>
        <v>Loans &amp; Advances</v>
      </c>
      <c r="C15" s="34" cm="1">
        <f t="array" aca="1" ref="C15" ca="1">IF(RIGHT($A15,1)="G",SUMIF(AccountAll,LEFT($A15,5)&amp;"*",AccountOpen),SUMIF(AccountAll,$A15,AccountOpen))</f>
        <v>0</v>
      </c>
      <c r="D15" s="34" cm="1">
        <f t="array" aca="1" ref="D15" ca="1">C15+IF(RIGHT($A15,1)="G",-SUMIFS(IncExcl,IncDocDate,"&gt;="&amp;DATE(YEAR(D$4),MONTH(D$4),1),IncDocDate,"&lt;="&amp;D$4,IncAccount,LEFT($A15,5)&amp;"*")+SUMIFS(ExpExcl,ExpDocDate,"&gt;="&amp;DATE(YEAR(D$4),MONTH(D$4),1),ExpDocDate,"&lt;="&amp;D$4,ExpAccount,LEFT($A15,5)&amp;"*"),-SUMIFS(IncExcl,IncDocDate,"&gt;="&amp;DATE(YEAR(D$4),MONTH(D$4),1),IncDocDate,"&lt;="&amp;D$4,IncAccount,$A15)+SUMIFS(ExpExcl,ExpDocDate,"&gt;="&amp;DATE(YEAR(D$4),MONTH(D$4),1),ExpDocDate,"&lt;="&amp;D$4,ExpAccount,$A15))</f>
        <v>0</v>
      </c>
      <c r="E15" s="34" cm="1">
        <f t="array" aca="1" ref="E15" ca="1">D15+IF(RIGHT($A15,1)="G",-SUMIFS(IncExcl,IncDocDate,"&gt;="&amp;DATE(YEAR(E$4),MONTH(E$4),1),IncDocDate,"&lt;="&amp;E$4,IncAccount,LEFT($A15,5)&amp;"*")+SUMIFS(ExpExcl,ExpDocDate,"&gt;="&amp;DATE(YEAR(E$4),MONTH(E$4),1),ExpDocDate,"&lt;="&amp;E$4,ExpAccount,LEFT($A15,5)&amp;"*"),-SUMIFS(IncExcl,IncDocDate,"&gt;="&amp;DATE(YEAR(E$4),MONTH(E$4),1),IncDocDate,"&lt;="&amp;E$4,IncAccount,$A15)+SUMIFS(ExpExcl,ExpDocDate,"&gt;="&amp;DATE(YEAR(E$4),MONTH(E$4),1),ExpDocDate,"&lt;="&amp;E$4,ExpAccount,$A15))</f>
        <v>0</v>
      </c>
      <c r="F15" s="34" cm="1">
        <f t="array" aca="1" ref="F15" ca="1">E15+IF(RIGHT($A15,1)="G",-SUMIFS(IncExcl,IncDocDate,"&gt;="&amp;DATE(YEAR(F$4),MONTH(F$4),1),IncDocDate,"&lt;="&amp;F$4,IncAccount,LEFT($A15,5)&amp;"*")+SUMIFS(ExpExcl,ExpDocDate,"&gt;="&amp;DATE(YEAR(F$4),MONTH(F$4),1),ExpDocDate,"&lt;="&amp;F$4,ExpAccount,LEFT($A15,5)&amp;"*"),-SUMIFS(IncExcl,IncDocDate,"&gt;="&amp;DATE(YEAR(F$4),MONTH(F$4),1),IncDocDate,"&lt;="&amp;F$4,IncAccount,$A15)+SUMIFS(ExpExcl,ExpDocDate,"&gt;="&amp;DATE(YEAR(F$4),MONTH(F$4),1),ExpDocDate,"&lt;="&amp;F$4,ExpAccount,$A15))</f>
        <v>0</v>
      </c>
      <c r="G15" s="34" cm="1">
        <f t="array" aca="1" ref="G15" ca="1">F15+IF(RIGHT($A15,1)="G",-SUMIFS(IncExcl,IncDocDate,"&gt;="&amp;DATE(YEAR(G$4),MONTH(G$4),1),IncDocDate,"&lt;="&amp;G$4,IncAccount,LEFT($A15,5)&amp;"*")+SUMIFS(ExpExcl,ExpDocDate,"&gt;="&amp;DATE(YEAR(G$4),MONTH(G$4),1),ExpDocDate,"&lt;="&amp;G$4,ExpAccount,LEFT($A15,5)&amp;"*"),-SUMIFS(IncExcl,IncDocDate,"&gt;="&amp;DATE(YEAR(G$4),MONTH(G$4),1),IncDocDate,"&lt;="&amp;G$4,IncAccount,$A15)+SUMIFS(ExpExcl,ExpDocDate,"&gt;="&amp;DATE(YEAR(G$4),MONTH(G$4),1),ExpDocDate,"&lt;="&amp;G$4,ExpAccount,$A15))</f>
        <v>0</v>
      </c>
      <c r="H15" s="34" cm="1">
        <f t="array" aca="1" ref="H15" ca="1">G15+IF(RIGHT($A15,1)="G",-SUMIFS(IncExcl,IncDocDate,"&gt;="&amp;DATE(YEAR(H$4),MONTH(H$4),1),IncDocDate,"&lt;="&amp;H$4,IncAccount,LEFT($A15,5)&amp;"*")+SUMIFS(ExpExcl,ExpDocDate,"&gt;="&amp;DATE(YEAR(H$4),MONTH(H$4),1),ExpDocDate,"&lt;="&amp;H$4,ExpAccount,LEFT($A15,5)&amp;"*"),-SUMIFS(IncExcl,IncDocDate,"&gt;="&amp;DATE(YEAR(H$4),MONTH(H$4),1),IncDocDate,"&lt;="&amp;H$4,IncAccount,$A15)+SUMIFS(ExpExcl,ExpDocDate,"&gt;="&amp;DATE(YEAR(H$4),MONTH(H$4),1),ExpDocDate,"&lt;="&amp;H$4,ExpAccount,$A15))</f>
        <v>0</v>
      </c>
      <c r="I15" s="34" cm="1">
        <f t="array" aca="1" ref="I15" ca="1">H15+IF(RIGHT($A15,1)="G",-SUMIFS(IncExcl,IncDocDate,"&gt;="&amp;DATE(YEAR(I$4),MONTH(I$4),1),IncDocDate,"&lt;="&amp;I$4,IncAccount,LEFT($A15,5)&amp;"*")+SUMIFS(ExpExcl,ExpDocDate,"&gt;="&amp;DATE(YEAR(I$4),MONTH(I$4),1),ExpDocDate,"&lt;="&amp;I$4,ExpAccount,LEFT($A15,5)&amp;"*"),-SUMIFS(IncExcl,IncDocDate,"&gt;="&amp;DATE(YEAR(I$4),MONTH(I$4),1),IncDocDate,"&lt;="&amp;I$4,IncAccount,$A15)+SUMIFS(ExpExcl,ExpDocDate,"&gt;="&amp;DATE(YEAR(I$4),MONTH(I$4),1),ExpDocDate,"&lt;="&amp;I$4,ExpAccount,$A15))</f>
        <v>0</v>
      </c>
      <c r="J15" s="34" cm="1">
        <f t="array" aca="1" ref="J15" ca="1">I15+IF(RIGHT($A15,1)="G",-SUMIFS(IncExcl,IncDocDate,"&gt;="&amp;DATE(YEAR(J$4),MONTH(J$4),1),IncDocDate,"&lt;="&amp;J$4,IncAccount,LEFT($A15,5)&amp;"*")+SUMIFS(ExpExcl,ExpDocDate,"&gt;="&amp;DATE(YEAR(J$4),MONTH(J$4),1),ExpDocDate,"&lt;="&amp;J$4,ExpAccount,LEFT($A15,5)&amp;"*"),-SUMIFS(IncExcl,IncDocDate,"&gt;="&amp;DATE(YEAR(J$4),MONTH(J$4),1),IncDocDate,"&lt;="&amp;J$4,IncAccount,$A15)+SUMIFS(ExpExcl,ExpDocDate,"&gt;="&amp;DATE(YEAR(J$4),MONTH(J$4),1),ExpDocDate,"&lt;="&amp;J$4,ExpAccount,$A15))</f>
        <v>0</v>
      </c>
      <c r="K15" s="34" cm="1">
        <f t="array" aca="1" ref="K15" ca="1">J15+IF(RIGHT($A15,1)="G",-SUMIFS(IncExcl,IncDocDate,"&gt;="&amp;DATE(YEAR(K$4),MONTH(K$4),1),IncDocDate,"&lt;="&amp;K$4,IncAccount,LEFT($A15,5)&amp;"*")+SUMIFS(ExpExcl,ExpDocDate,"&gt;="&amp;DATE(YEAR(K$4),MONTH(K$4),1),ExpDocDate,"&lt;="&amp;K$4,ExpAccount,LEFT($A15,5)&amp;"*"),-SUMIFS(IncExcl,IncDocDate,"&gt;="&amp;DATE(YEAR(K$4),MONTH(K$4),1),IncDocDate,"&lt;="&amp;K$4,IncAccount,$A15)+SUMIFS(ExpExcl,ExpDocDate,"&gt;="&amp;DATE(YEAR(K$4),MONTH(K$4),1),ExpDocDate,"&lt;="&amp;K$4,ExpAccount,$A15))</f>
        <v>0</v>
      </c>
      <c r="L15" s="34" cm="1">
        <f t="array" aca="1" ref="L15" ca="1">K15+IF(RIGHT($A15,1)="G",-SUMIFS(IncExcl,IncDocDate,"&gt;="&amp;DATE(YEAR(L$4),MONTH(L$4),1),IncDocDate,"&lt;="&amp;L$4,IncAccount,LEFT($A15,5)&amp;"*")+SUMIFS(ExpExcl,ExpDocDate,"&gt;="&amp;DATE(YEAR(L$4),MONTH(L$4),1),ExpDocDate,"&lt;="&amp;L$4,ExpAccount,LEFT($A15,5)&amp;"*"),-SUMIFS(IncExcl,IncDocDate,"&gt;="&amp;DATE(YEAR(L$4),MONTH(L$4),1),IncDocDate,"&lt;="&amp;L$4,IncAccount,$A15)+SUMIFS(ExpExcl,ExpDocDate,"&gt;="&amp;DATE(YEAR(L$4),MONTH(L$4),1),ExpDocDate,"&lt;="&amp;L$4,ExpAccount,$A15))</f>
        <v>0</v>
      </c>
      <c r="M15" s="34" cm="1">
        <f t="array" aca="1" ref="M15" ca="1">L15+IF(RIGHT($A15,1)="G",-SUMIFS(IncExcl,IncDocDate,"&gt;="&amp;DATE(YEAR(M$4),MONTH(M$4),1),IncDocDate,"&lt;="&amp;M$4,IncAccount,LEFT($A15,5)&amp;"*")+SUMIFS(ExpExcl,ExpDocDate,"&gt;="&amp;DATE(YEAR(M$4),MONTH(M$4),1),ExpDocDate,"&lt;="&amp;M$4,ExpAccount,LEFT($A15,5)&amp;"*"),-SUMIFS(IncExcl,IncDocDate,"&gt;="&amp;DATE(YEAR(M$4),MONTH(M$4),1),IncDocDate,"&lt;="&amp;M$4,IncAccount,$A15)+SUMIFS(ExpExcl,ExpDocDate,"&gt;="&amp;DATE(YEAR(M$4),MONTH(M$4),1),ExpDocDate,"&lt;="&amp;M$4,ExpAccount,$A15))</f>
        <v>0</v>
      </c>
      <c r="N15" s="34" cm="1">
        <f t="array" aca="1" ref="N15" ca="1">M15+IF(RIGHT($A15,1)="G",-SUMIFS(IncExcl,IncDocDate,"&gt;="&amp;DATE(YEAR(N$4),MONTH(N$4),1),IncDocDate,"&lt;="&amp;N$4,IncAccount,LEFT($A15,5)&amp;"*")+SUMIFS(ExpExcl,ExpDocDate,"&gt;="&amp;DATE(YEAR(N$4),MONTH(N$4),1),ExpDocDate,"&lt;="&amp;N$4,ExpAccount,LEFT($A15,5)&amp;"*"),-SUMIFS(IncExcl,IncDocDate,"&gt;="&amp;DATE(YEAR(N$4),MONTH(N$4),1),IncDocDate,"&lt;="&amp;N$4,IncAccount,$A15)+SUMIFS(ExpExcl,ExpDocDate,"&gt;="&amp;DATE(YEAR(N$4),MONTH(N$4),1),ExpDocDate,"&lt;="&amp;N$4,ExpAccount,$A15))</f>
        <v>0</v>
      </c>
      <c r="O15" s="34" cm="1">
        <f t="array" aca="1" ref="O15" ca="1">N15+IF(RIGHT($A15,1)="G",-SUMIFS(IncExcl,IncDocDate,"&gt;="&amp;DATE(YEAR(O$4),MONTH(O$4),1),IncDocDate,"&lt;="&amp;O$4,IncAccount,LEFT($A15,5)&amp;"*")+SUMIFS(ExpExcl,ExpDocDate,"&gt;="&amp;DATE(YEAR(O$4),MONTH(O$4),1),ExpDocDate,"&lt;="&amp;O$4,ExpAccount,LEFT($A15,5)&amp;"*"),-SUMIFS(IncExcl,IncDocDate,"&gt;="&amp;DATE(YEAR(O$4),MONTH(O$4),1),IncDocDate,"&lt;="&amp;O$4,IncAccount,$A15)+SUMIFS(ExpExcl,ExpDocDate,"&gt;="&amp;DATE(YEAR(O$4),MONTH(O$4),1),ExpDocDate,"&lt;="&amp;O$4,ExpAccount,$A15))</f>
        <v>0</v>
      </c>
      <c r="P15" s="188">
        <f t="shared" ca="1" si="4"/>
        <v>0</v>
      </c>
    </row>
    <row r="16" spans="1:16" ht="15.95" customHeight="1" x14ac:dyDescent="0.3">
      <c r="A16" s="284" t="s">
        <v>165</v>
      </c>
      <c r="B16" s="12" t="str">
        <f ca="1">IF(RIGHT($A16,1)="G",IF(ISNA(VLOOKUP(LEFT($A16,LEN($A16)-1),GroupAll,COLUMN(Groups!$B$4),0)),"Group Not Found",VLOOKUP(LEFT($A16,LEN($A16)-1),GroupAll,COLUMN(Groups!$B$4),0)),IF(ISNA(VLOOKUP($A16,AccountAll,COLUMN(TB!$B$4),0)),"Account Not Found",VLOOKUP($A16,AccountAll,COLUMN(TB!$B$4),0)))</f>
        <v>Other Debtors</v>
      </c>
      <c r="C16" s="34" cm="1">
        <f t="array" aca="1" ref="C16" ca="1">IF(RIGHT($A16,1)="G",SUMIF(AccountAll,LEFT($A16,5)&amp;"*",AccountOpen),SUMIF(AccountAll,$A16,AccountOpen))</f>
        <v>0</v>
      </c>
      <c r="D16" s="34" cm="1">
        <f t="array" aca="1" ref="D16" ca="1">C16+IF(RIGHT($A16,1)="G",-SUMIFS(IncExcl,IncDocDate,"&gt;="&amp;DATE(YEAR(D$4),MONTH(D$4),1),IncDocDate,"&lt;="&amp;D$4,IncAccount,LEFT($A16,5)&amp;"*")+SUMIFS(ExpExcl,ExpDocDate,"&gt;="&amp;DATE(YEAR(D$4),MONTH(D$4),1),ExpDocDate,"&lt;="&amp;D$4,ExpAccount,LEFT($A16,5)&amp;"*"),-SUMIFS(IncExcl,IncDocDate,"&gt;="&amp;DATE(YEAR(D$4),MONTH(D$4),1),IncDocDate,"&lt;="&amp;D$4,IncAccount,$A16)+SUMIFS(ExpExcl,ExpDocDate,"&gt;="&amp;DATE(YEAR(D$4),MONTH(D$4),1),ExpDocDate,"&lt;="&amp;D$4,ExpAccount,$A16))</f>
        <v>0</v>
      </c>
      <c r="E16" s="34" cm="1">
        <f t="array" aca="1" ref="E16" ca="1">D16+IF(RIGHT($A16,1)="G",-SUMIFS(IncExcl,IncDocDate,"&gt;="&amp;DATE(YEAR(E$4),MONTH(E$4),1),IncDocDate,"&lt;="&amp;E$4,IncAccount,LEFT($A16,5)&amp;"*")+SUMIFS(ExpExcl,ExpDocDate,"&gt;="&amp;DATE(YEAR(E$4),MONTH(E$4),1),ExpDocDate,"&lt;="&amp;E$4,ExpAccount,LEFT($A16,5)&amp;"*"),-SUMIFS(IncExcl,IncDocDate,"&gt;="&amp;DATE(YEAR(E$4),MONTH(E$4),1),IncDocDate,"&lt;="&amp;E$4,IncAccount,$A16)+SUMIFS(ExpExcl,ExpDocDate,"&gt;="&amp;DATE(YEAR(E$4),MONTH(E$4),1),ExpDocDate,"&lt;="&amp;E$4,ExpAccount,$A16))</f>
        <v>0</v>
      </c>
      <c r="F16" s="34" cm="1">
        <f t="array" aca="1" ref="F16" ca="1">E16+IF(RIGHT($A16,1)="G",-SUMIFS(IncExcl,IncDocDate,"&gt;="&amp;DATE(YEAR(F$4),MONTH(F$4),1),IncDocDate,"&lt;="&amp;F$4,IncAccount,LEFT($A16,5)&amp;"*")+SUMIFS(ExpExcl,ExpDocDate,"&gt;="&amp;DATE(YEAR(F$4),MONTH(F$4),1),ExpDocDate,"&lt;="&amp;F$4,ExpAccount,LEFT($A16,5)&amp;"*"),-SUMIFS(IncExcl,IncDocDate,"&gt;="&amp;DATE(YEAR(F$4),MONTH(F$4),1),IncDocDate,"&lt;="&amp;F$4,IncAccount,$A16)+SUMIFS(ExpExcl,ExpDocDate,"&gt;="&amp;DATE(YEAR(F$4),MONTH(F$4),1),ExpDocDate,"&lt;="&amp;F$4,ExpAccount,$A16))</f>
        <v>0</v>
      </c>
      <c r="G16" s="34" cm="1">
        <f t="array" aca="1" ref="G16" ca="1">F16+IF(RIGHT($A16,1)="G",-SUMIFS(IncExcl,IncDocDate,"&gt;="&amp;DATE(YEAR(G$4),MONTH(G$4),1),IncDocDate,"&lt;="&amp;G$4,IncAccount,LEFT($A16,5)&amp;"*")+SUMIFS(ExpExcl,ExpDocDate,"&gt;="&amp;DATE(YEAR(G$4),MONTH(G$4),1),ExpDocDate,"&lt;="&amp;G$4,ExpAccount,LEFT($A16,5)&amp;"*"),-SUMIFS(IncExcl,IncDocDate,"&gt;="&amp;DATE(YEAR(G$4),MONTH(G$4),1),IncDocDate,"&lt;="&amp;G$4,IncAccount,$A16)+SUMIFS(ExpExcl,ExpDocDate,"&gt;="&amp;DATE(YEAR(G$4),MONTH(G$4),1),ExpDocDate,"&lt;="&amp;G$4,ExpAccount,$A16))</f>
        <v>0</v>
      </c>
      <c r="H16" s="34" cm="1">
        <f t="array" aca="1" ref="H16" ca="1">G16+IF(RIGHT($A16,1)="G",-SUMIFS(IncExcl,IncDocDate,"&gt;="&amp;DATE(YEAR(H$4),MONTH(H$4),1),IncDocDate,"&lt;="&amp;H$4,IncAccount,LEFT($A16,5)&amp;"*")+SUMIFS(ExpExcl,ExpDocDate,"&gt;="&amp;DATE(YEAR(H$4),MONTH(H$4),1),ExpDocDate,"&lt;="&amp;H$4,ExpAccount,LEFT($A16,5)&amp;"*"),-SUMIFS(IncExcl,IncDocDate,"&gt;="&amp;DATE(YEAR(H$4),MONTH(H$4),1),IncDocDate,"&lt;="&amp;H$4,IncAccount,$A16)+SUMIFS(ExpExcl,ExpDocDate,"&gt;="&amp;DATE(YEAR(H$4),MONTH(H$4),1),ExpDocDate,"&lt;="&amp;H$4,ExpAccount,$A16))</f>
        <v>0</v>
      </c>
      <c r="I16" s="34" cm="1">
        <f t="array" aca="1" ref="I16" ca="1">H16+IF(RIGHT($A16,1)="G",-SUMIFS(IncExcl,IncDocDate,"&gt;="&amp;DATE(YEAR(I$4),MONTH(I$4),1),IncDocDate,"&lt;="&amp;I$4,IncAccount,LEFT($A16,5)&amp;"*")+SUMIFS(ExpExcl,ExpDocDate,"&gt;="&amp;DATE(YEAR(I$4),MONTH(I$4),1),ExpDocDate,"&lt;="&amp;I$4,ExpAccount,LEFT($A16,5)&amp;"*"),-SUMIFS(IncExcl,IncDocDate,"&gt;="&amp;DATE(YEAR(I$4),MONTH(I$4),1),IncDocDate,"&lt;="&amp;I$4,IncAccount,$A16)+SUMIFS(ExpExcl,ExpDocDate,"&gt;="&amp;DATE(YEAR(I$4),MONTH(I$4),1),ExpDocDate,"&lt;="&amp;I$4,ExpAccount,$A16))</f>
        <v>0</v>
      </c>
      <c r="J16" s="34" cm="1">
        <f t="array" aca="1" ref="J16" ca="1">I16+IF(RIGHT($A16,1)="G",-SUMIFS(IncExcl,IncDocDate,"&gt;="&amp;DATE(YEAR(J$4),MONTH(J$4),1),IncDocDate,"&lt;="&amp;J$4,IncAccount,LEFT($A16,5)&amp;"*")+SUMIFS(ExpExcl,ExpDocDate,"&gt;="&amp;DATE(YEAR(J$4),MONTH(J$4),1),ExpDocDate,"&lt;="&amp;J$4,ExpAccount,LEFT($A16,5)&amp;"*"),-SUMIFS(IncExcl,IncDocDate,"&gt;="&amp;DATE(YEAR(J$4),MONTH(J$4),1),IncDocDate,"&lt;="&amp;J$4,IncAccount,$A16)+SUMIFS(ExpExcl,ExpDocDate,"&gt;="&amp;DATE(YEAR(J$4),MONTH(J$4),1),ExpDocDate,"&lt;="&amp;J$4,ExpAccount,$A16))</f>
        <v>0</v>
      </c>
      <c r="K16" s="34" cm="1">
        <f t="array" aca="1" ref="K16" ca="1">J16+IF(RIGHT($A16,1)="G",-SUMIFS(IncExcl,IncDocDate,"&gt;="&amp;DATE(YEAR(K$4),MONTH(K$4),1),IncDocDate,"&lt;="&amp;K$4,IncAccount,LEFT($A16,5)&amp;"*")+SUMIFS(ExpExcl,ExpDocDate,"&gt;="&amp;DATE(YEAR(K$4),MONTH(K$4),1),ExpDocDate,"&lt;="&amp;K$4,ExpAccount,LEFT($A16,5)&amp;"*"),-SUMIFS(IncExcl,IncDocDate,"&gt;="&amp;DATE(YEAR(K$4),MONTH(K$4),1),IncDocDate,"&lt;="&amp;K$4,IncAccount,$A16)+SUMIFS(ExpExcl,ExpDocDate,"&gt;="&amp;DATE(YEAR(K$4),MONTH(K$4),1),ExpDocDate,"&lt;="&amp;K$4,ExpAccount,$A16))</f>
        <v>0</v>
      </c>
      <c r="L16" s="34" cm="1">
        <f t="array" aca="1" ref="L16" ca="1">K16+IF(RIGHT($A16,1)="G",-SUMIFS(IncExcl,IncDocDate,"&gt;="&amp;DATE(YEAR(L$4),MONTH(L$4),1),IncDocDate,"&lt;="&amp;L$4,IncAccount,LEFT($A16,5)&amp;"*")+SUMIFS(ExpExcl,ExpDocDate,"&gt;="&amp;DATE(YEAR(L$4),MONTH(L$4),1),ExpDocDate,"&lt;="&amp;L$4,ExpAccount,LEFT($A16,5)&amp;"*"),-SUMIFS(IncExcl,IncDocDate,"&gt;="&amp;DATE(YEAR(L$4),MONTH(L$4),1),IncDocDate,"&lt;="&amp;L$4,IncAccount,$A16)+SUMIFS(ExpExcl,ExpDocDate,"&gt;="&amp;DATE(YEAR(L$4),MONTH(L$4),1),ExpDocDate,"&lt;="&amp;L$4,ExpAccount,$A16))</f>
        <v>0</v>
      </c>
      <c r="M16" s="34" cm="1">
        <f t="array" aca="1" ref="M16" ca="1">L16+IF(RIGHT($A16,1)="G",-SUMIFS(IncExcl,IncDocDate,"&gt;="&amp;DATE(YEAR(M$4),MONTH(M$4),1),IncDocDate,"&lt;="&amp;M$4,IncAccount,LEFT($A16,5)&amp;"*")+SUMIFS(ExpExcl,ExpDocDate,"&gt;="&amp;DATE(YEAR(M$4),MONTH(M$4),1),ExpDocDate,"&lt;="&amp;M$4,ExpAccount,LEFT($A16,5)&amp;"*"),-SUMIFS(IncExcl,IncDocDate,"&gt;="&amp;DATE(YEAR(M$4),MONTH(M$4),1),IncDocDate,"&lt;="&amp;M$4,IncAccount,$A16)+SUMIFS(ExpExcl,ExpDocDate,"&gt;="&amp;DATE(YEAR(M$4),MONTH(M$4),1),ExpDocDate,"&lt;="&amp;M$4,ExpAccount,$A16))</f>
        <v>0</v>
      </c>
      <c r="N16" s="34" cm="1">
        <f t="array" aca="1" ref="N16" ca="1">M16+IF(RIGHT($A16,1)="G",-SUMIFS(IncExcl,IncDocDate,"&gt;="&amp;DATE(YEAR(N$4),MONTH(N$4),1),IncDocDate,"&lt;="&amp;N$4,IncAccount,LEFT($A16,5)&amp;"*")+SUMIFS(ExpExcl,ExpDocDate,"&gt;="&amp;DATE(YEAR(N$4),MONTH(N$4),1),ExpDocDate,"&lt;="&amp;N$4,ExpAccount,LEFT($A16,5)&amp;"*"),-SUMIFS(IncExcl,IncDocDate,"&gt;="&amp;DATE(YEAR(N$4),MONTH(N$4),1),IncDocDate,"&lt;="&amp;N$4,IncAccount,$A16)+SUMIFS(ExpExcl,ExpDocDate,"&gt;="&amp;DATE(YEAR(N$4),MONTH(N$4),1),ExpDocDate,"&lt;="&amp;N$4,ExpAccount,$A16))</f>
        <v>0</v>
      </c>
      <c r="O16" s="34" cm="1">
        <f t="array" aca="1" ref="O16" ca="1">N16+IF(RIGHT($A16,1)="G",-SUMIFS(IncExcl,IncDocDate,"&gt;="&amp;DATE(YEAR(O$4),MONTH(O$4),1),IncDocDate,"&lt;="&amp;O$4,IncAccount,LEFT($A16,5)&amp;"*")+SUMIFS(ExpExcl,ExpDocDate,"&gt;="&amp;DATE(YEAR(O$4),MONTH(O$4),1),ExpDocDate,"&lt;="&amp;O$4,ExpAccount,LEFT($A16,5)&amp;"*"),-SUMIFS(IncExcl,IncDocDate,"&gt;="&amp;DATE(YEAR(O$4),MONTH(O$4),1),IncDocDate,"&lt;="&amp;O$4,IncAccount,$A16)+SUMIFS(ExpExcl,ExpDocDate,"&gt;="&amp;DATE(YEAR(O$4),MONTH(O$4),1),ExpDocDate,"&lt;="&amp;O$4,ExpAccount,$A16))</f>
        <v>0</v>
      </c>
      <c r="P16" s="188">
        <f t="shared" ca="1" si="4"/>
        <v>0</v>
      </c>
    </row>
    <row r="17" spans="1:16" ht="15.95" customHeight="1" x14ac:dyDescent="0.3">
      <c r="A17" s="286" t="str">
        <f ca="1">"BS-B"&amp;IF(ROW($B17)-ROW($B$17)+1&gt;COUNTA(BankCode),"X",OFFSET(Setup!$A$32,1+ROW($B17)-ROW($B$17),0,1,1))</f>
        <v>BS-BB1</v>
      </c>
      <c r="B17" s="12" t="str">
        <f ca="1">IF(RIGHT($A17,1)="G",IF(ISNA(VLOOKUP(LEFT($A17,LEN($A17)-1),GroupAll,COLUMN(Groups!$B$4),0)),"Group Not Found",VLOOKUP(LEFT($A17,LEN($A17)-1),GroupAll,COLUMN(Groups!$B$4),0)),IF(ISNA(VLOOKUP($A17,AccountAll,COLUMN(TB!$B$4),0)),"Account Not Found",VLOOKUP($A17,AccountAll,COLUMN(TB!$B$4),0)))</f>
        <v>HQ</v>
      </c>
      <c r="C17" s="34" cm="1">
        <f t="array" aca="1" ref="C17" ca="1">IF(RIGHT($A17,1)="G",SUMIF(AccountAll,LEFT($A17,5)&amp;"*",AccountOpen),SUMIF(AccountAll,$A17,AccountOpen))</f>
        <v>4248291.34</v>
      </c>
      <c r="D17" s="34">
        <f t="shared" ref="D17:O34" ca="1" si="5">SUMIFS(IncPayAmount,IncPayDate,"&lt;="&amp;D$4,IncPayDate,"&lt;&gt;",IncBank,MID($A17,5,LEN($A17)-4))-SUMIFS(ExpIncl,ExpPayDate,"&lt;="&amp;D$4,ExpPayDate,"&lt;&gt;",ExpBank,MID($A17,5,LEN($A17)-4))</f>
        <v>3107306.42</v>
      </c>
      <c r="E17" s="34">
        <f t="shared" ca="1" si="5"/>
        <v>3107306.42</v>
      </c>
      <c r="F17" s="34">
        <f t="shared" ca="1" si="5"/>
        <v>3107306.42</v>
      </c>
      <c r="G17" s="34">
        <f t="shared" ca="1" si="5"/>
        <v>3107306.42</v>
      </c>
      <c r="H17" s="34">
        <f t="shared" ca="1" si="5"/>
        <v>3107306.42</v>
      </c>
      <c r="I17" s="34">
        <f t="shared" ca="1" si="5"/>
        <v>3107306.42</v>
      </c>
      <c r="J17" s="34">
        <f t="shared" ca="1" si="5"/>
        <v>3107306.42</v>
      </c>
      <c r="K17" s="34">
        <f t="shared" ca="1" si="5"/>
        <v>3107306.42</v>
      </c>
      <c r="L17" s="34">
        <f t="shared" ca="1" si="5"/>
        <v>3107306.42</v>
      </c>
      <c r="M17" s="34">
        <f t="shared" ca="1" si="5"/>
        <v>3107306.42</v>
      </c>
      <c r="N17" s="34">
        <f t="shared" ca="1" si="5"/>
        <v>3107306.42</v>
      </c>
      <c r="O17" s="34">
        <f t="shared" ca="1" si="5"/>
        <v>3107306.42</v>
      </c>
      <c r="P17" s="188">
        <f t="shared" ca="1" si="4"/>
        <v>3107306.42</v>
      </c>
    </row>
    <row r="18" spans="1:16" ht="15.95" customHeight="1" x14ac:dyDescent="0.3">
      <c r="A18" s="286" t="str">
        <f ca="1">"BS-B"&amp;IF(ROW($B18)-ROW($B$17)+1&gt;COUNTA(BankCode),"X",OFFSET(Setup!$A$32,1+ROW($B18)-ROW($B$17),0,1,1))</f>
        <v>BS-BB2</v>
      </c>
      <c r="B18" s="12" t="str">
        <f ca="1">IF(RIGHT($A18,1)="G",IF(ISNA(VLOOKUP(LEFT($A18,LEN($A18)-1),GroupAll,COLUMN(Groups!$B$4),0)),"Group Not Found",VLOOKUP(LEFT($A18,LEN($A18)-1),GroupAll,COLUMN(Groups!$B$4),0)),IF(ISNA(VLOOKUP($A18,AccountAll,COLUMN(TB!$B$4),0)),"Account Not Found",VLOOKUP($A18,AccountAll,COLUMN(TB!$B$4),0)))</f>
        <v>SONGEA</v>
      </c>
      <c r="C18" s="34" cm="1">
        <f t="array" aca="1" ref="C18" ca="1">IF(RIGHT($A18,1)="G",SUMIF(AccountAll,LEFT($A18,5)&amp;"*",AccountOpen),SUMIF(AccountAll,$A18,AccountOpen))</f>
        <v>0</v>
      </c>
      <c r="D18" s="34">
        <f t="shared" ca="1" si="5"/>
        <v>0</v>
      </c>
      <c r="E18" s="34">
        <f t="shared" ca="1" si="5"/>
        <v>0</v>
      </c>
      <c r="F18" s="34">
        <f t="shared" ca="1" si="5"/>
        <v>0</v>
      </c>
      <c r="G18" s="34">
        <f t="shared" ca="1" si="5"/>
        <v>0</v>
      </c>
      <c r="H18" s="34">
        <f t="shared" ca="1" si="5"/>
        <v>0</v>
      </c>
      <c r="I18" s="34">
        <f t="shared" ca="1" si="5"/>
        <v>0</v>
      </c>
      <c r="J18" s="34">
        <f t="shared" ca="1" si="5"/>
        <v>0</v>
      </c>
      <c r="K18" s="34">
        <f t="shared" ca="1" si="5"/>
        <v>0</v>
      </c>
      <c r="L18" s="34">
        <f t="shared" ca="1" si="5"/>
        <v>0</v>
      </c>
      <c r="M18" s="34">
        <f t="shared" ca="1" si="5"/>
        <v>0</v>
      </c>
      <c r="N18" s="34">
        <f t="shared" ca="1" si="5"/>
        <v>0</v>
      </c>
      <c r="O18" s="34">
        <f t="shared" ca="1" si="5"/>
        <v>0</v>
      </c>
      <c r="P18" s="188">
        <f t="shared" ref="P18:P29" ca="1" si="6">O18</f>
        <v>0</v>
      </c>
    </row>
    <row r="19" spans="1:16" ht="15.95" customHeight="1" x14ac:dyDescent="0.3">
      <c r="A19" s="286" t="str">
        <f ca="1">"BS-B"&amp;IF(ROW($B19)-ROW($B$17)+1&gt;COUNTA(BankCode),"X",OFFSET(Setup!$A$32,1+ROW($B19)-ROW($B$17),0,1,1))</f>
        <v>BS-BB3</v>
      </c>
      <c r="B19" s="12" t="str">
        <f ca="1">IF(RIGHT($A19,1)="G",IF(ISNA(VLOOKUP(LEFT($A19,LEN($A19)-1),GroupAll,COLUMN(Groups!$B$4),0)),"Group Not Found",VLOOKUP(LEFT($A19,LEN($A19)-1),GroupAll,COLUMN(Groups!$B$4),0)),IF(ISNA(VLOOKUP($A19,AccountAll,COLUMN(TB!$B$4),0)),"Account Not Found",VLOOKUP($A19,AccountAll,COLUMN(TB!$B$4),0)))</f>
        <v>IRINGA AKIBA HOUSE</v>
      </c>
      <c r="C19" s="34" cm="1">
        <f t="array" aca="1" ref="C19" ca="1">IF(RIGHT($A19,1)="G",SUMIF(AccountAll,LEFT($A19,5)&amp;"*",AccountOpen),SUMIF(AccountAll,$A19,AccountOpen))</f>
        <v>2794567.2</v>
      </c>
      <c r="D19" s="34">
        <f t="shared" ca="1" si="5"/>
        <v>8220599.2000000002</v>
      </c>
      <c r="E19" s="34">
        <f t="shared" ca="1" si="5"/>
        <v>14378358.4</v>
      </c>
      <c r="F19" s="34">
        <f t="shared" ca="1" si="5"/>
        <v>14378358.4</v>
      </c>
      <c r="G19" s="34">
        <f t="shared" ca="1" si="5"/>
        <v>14378358.4</v>
      </c>
      <c r="H19" s="34">
        <f t="shared" ca="1" si="5"/>
        <v>14378358.4</v>
      </c>
      <c r="I19" s="34">
        <f t="shared" ca="1" si="5"/>
        <v>14378358.4</v>
      </c>
      <c r="J19" s="34">
        <f t="shared" ca="1" si="5"/>
        <v>14378358.4</v>
      </c>
      <c r="K19" s="34">
        <f t="shared" ca="1" si="5"/>
        <v>14378358.4</v>
      </c>
      <c r="L19" s="34">
        <f t="shared" ca="1" si="5"/>
        <v>14378358.4</v>
      </c>
      <c r="M19" s="34">
        <f t="shared" ca="1" si="5"/>
        <v>14378358.4</v>
      </c>
      <c r="N19" s="34">
        <f t="shared" ca="1" si="5"/>
        <v>14378358.4</v>
      </c>
      <c r="O19" s="34">
        <f t="shared" ca="1" si="5"/>
        <v>14378358.4</v>
      </c>
      <c r="P19" s="188">
        <f t="shared" ca="1" si="6"/>
        <v>14378358.4</v>
      </c>
    </row>
    <row r="20" spans="1:16" ht="15.95" customHeight="1" x14ac:dyDescent="0.3">
      <c r="A20" s="286" t="str">
        <f ca="1">"BS-B"&amp;IF(ROW($B20)-ROW($B$17)+1&gt;COUNTA(BankCode),"X",OFFSET(Setup!$A$32,1+ROW($B20)-ROW($B$17),0,1,1))</f>
        <v>BS-BB4</v>
      </c>
      <c r="B20" s="12" t="str">
        <f ca="1">IF(RIGHT($A20,1)="G",IF(ISNA(VLOOKUP(LEFT($A20,LEN($A20)-1),GroupAll,COLUMN(Groups!$B$4),0)),"Group Not Found",VLOOKUP(LEFT($A20,LEN($A20)-1),GroupAll,COLUMN(Groups!$B$4),0)),IF(ISNA(VLOOKUP($A20,AccountAll,COLUMN(TB!$B$4),0)),"Account Not Found",VLOOKUP($A20,AccountAll,COLUMN(TB!$B$4),0)))</f>
        <v>MASAKI</v>
      </c>
      <c r="C20" s="34" cm="1">
        <f t="array" aca="1" ref="C20" ca="1">IF(RIGHT($A20,1)="G",SUMIF(AccountAll,LEFT($A20,5)&amp;"*",AccountOpen),SUMIF(AccountAll,$A20,AccountOpen))</f>
        <v>0</v>
      </c>
      <c r="D20" s="34">
        <f t="shared" ca="1" si="5"/>
        <v>0</v>
      </c>
      <c r="E20" s="34">
        <f t="shared" ca="1" si="5"/>
        <v>0</v>
      </c>
      <c r="F20" s="34">
        <f t="shared" ca="1" si="5"/>
        <v>0</v>
      </c>
      <c r="G20" s="34">
        <f t="shared" ca="1" si="5"/>
        <v>0</v>
      </c>
      <c r="H20" s="34">
        <f t="shared" ca="1" si="5"/>
        <v>0</v>
      </c>
      <c r="I20" s="34">
        <f t="shared" ca="1" si="5"/>
        <v>0</v>
      </c>
      <c r="J20" s="34">
        <f t="shared" ca="1" si="5"/>
        <v>0</v>
      </c>
      <c r="K20" s="34">
        <f t="shared" ca="1" si="5"/>
        <v>0</v>
      </c>
      <c r="L20" s="34">
        <f t="shared" ca="1" si="5"/>
        <v>0</v>
      </c>
      <c r="M20" s="34">
        <f t="shared" ca="1" si="5"/>
        <v>0</v>
      </c>
      <c r="N20" s="34">
        <f t="shared" ca="1" si="5"/>
        <v>0</v>
      </c>
      <c r="O20" s="34">
        <f t="shared" ca="1" si="5"/>
        <v>0</v>
      </c>
      <c r="P20" s="188">
        <f t="shared" ca="1" si="6"/>
        <v>0</v>
      </c>
    </row>
    <row r="21" spans="1:16" ht="15.95" customHeight="1" x14ac:dyDescent="0.3">
      <c r="A21" s="286" t="str">
        <f ca="1">"BS-B"&amp;IF(ROW($B21)-ROW($B$17)+1&gt;COUNTA(BankCode),"X",OFFSET(Setup!$A$32,1+ROW($B21)-ROW($B$17),0,1,1))</f>
        <v>BS-BB5</v>
      </c>
      <c r="B21" s="12" t="str">
        <f ca="1">IF(RIGHT($A21,1)="G",IF(ISNA(VLOOKUP(LEFT($A21,LEN($A21)-1),GroupAll,COLUMN(Groups!$B$4),0)),"Group Not Found",VLOOKUP(LEFT($A21,LEN($A21)-1),GroupAll,COLUMN(Groups!$B$4),0)),IF(ISNA(VLOOKUP($A21,AccountAll,COLUMN(TB!$B$4),0)),"Account Not Found",VLOOKUP($A21,AccountAll,COLUMN(TB!$B$4),0)))</f>
        <v>KIJITONYAMA</v>
      </c>
      <c r="C21" s="34" cm="1">
        <f t="array" aca="1" ref="C21" ca="1">IF(RIGHT($A21,1)="G",SUMIF(AccountAll,LEFT($A21,5)&amp;"*",AccountOpen),SUMIF(AccountAll,$A21,AccountOpen))</f>
        <v>0</v>
      </c>
      <c r="D21" s="34">
        <f t="shared" ca="1" si="5"/>
        <v>0</v>
      </c>
      <c r="E21" s="34">
        <f t="shared" ca="1" si="5"/>
        <v>0</v>
      </c>
      <c r="F21" s="34">
        <f t="shared" ca="1" si="5"/>
        <v>0</v>
      </c>
      <c r="G21" s="34">
        <f t="shared" ca="1" si="5"/>
        <v>0</v>
      </c>
      <c r="H21" s="34">
        <f t="shared" ca="1" si="5"/>
        <v>0</v>
      </c>
      <c r="I21" s="34">
        <f t="shared" ca="1" si="5"/>
        <v>0</v>
      </c>
      <c r="J21" s="34">
        <f t="shared" ca="1" si="5"/>
        <v>0</v>
      </c>
      <c r="K21" s="34">
        <f t="shared" ca="1" si="5"/>
        <v>0</v>
      </c>
      <c r="L21" s="34">
        <f t="shared" ca="1" si="5"/>
        <v>0</v>
      </c>
      <c r="M21" s="34">
        <f t="shared" ca="1" si="5"/>
        <v>0</v>
      </c>
      <c r="N21" s="34">
        <f t="shared" ca="1" si="5"/>
        <v>0</v>
      </c>
      <c r="O21" s="34">
        <f t="shared" ca="1" si="5"/>
        <v>0</v>
      </c>
      <c r="P21" s="188">
        <f t="shared" ca="1" si="6"/>
        <v>0</v>
      </c>
    </row>
    <row r="22" spans="1:16" ht="15.95" customHeight="1" x14ac:dyDescent="0.3">
      <c r="A22" s="286" t="str">
        <f ca="1">"BS-B"&amp;IF(ROW($B22)-ROW($B$17)+1&gt;COUNTA(BankCode),"X",OFFSET(Setup!$A$32,1+ROW($B22)-ROW($B$17),0,1,1))</f>
        <v>BS-BB6</v>
      </c>
      <c r="B22" s="12" t="str">
        <f ca="1">IF(RIGHT($A22,1)="G",IF(ISNA(VLOOKUP(LEFT($A22,LEN($A22)-1),GroupAll,COLUMN(Groups!$B$4),0)),"Group Not Found",VLOOKUP(LEFT($A22,LEN($A22)-1),GroupAll,COLUMN(Groups!$B$4),0)),IF(ISNA(VLOOKUP($A22,AccountAll,COLUMN(TB!$B$4),0)),"Account Not Found",VLOOKUP($A22,AccountAll,COLUMN(TB!$B$4),0)))</f>
        <v>KALOLENI</v>
      </c>
      <c r="C22" s="34" cm="1">
        <f t="array" aca="1" ref="C22" ca="1">IF(RIGHT($A22,1)="G",SUMIF(AccountAll,LEFT($A22,5)&amp;"*",AccountOpen),SUMIF(AccountAll,$A22,AccountOpen))</f>
        <v>0</v>
      </c>
      <c r="D22" s="34">
        <f t="shared" ca="1" si="5"/>
        <v>0</v>
      </c>
      <c r="E22" s="34">
        <f t="shared" ca="1" si="5"/>
        <v>0</v>
      </c>
      <c r="F22" s="34">
        <f t="shared" ca="1" si="5"/>
        <v>0</v>
      </c>
      <c r="G22" s="34">
        <f t="shared" ca="1" si="5"/>
        <v>0</v>
      </c>
      <c r="H22" s="34">
        <f t="shared" ca="1" si="5"/>
        <v>0</v>
      </c>
      <c r="I22" s="34">
        <f t="shared" ca="1" si="5"/>
        <v>0</v>
      </c>
      <c r="J22" s="34">
        <f t="shared" ca="1" si="5"/>
        <v>0</v>
      </c>
      <c r="K22" s="34">
        <f t="shared" ca="1" si="5"/>
        <v>0</v>
      </c>
      <c r="L22" s="34">
        <f t="shared" ca="1" si="5"/>
        <v>0</v>
      </c>
      <c r="M22" s="34">
        <f t="shared" ca="1" si="5"/>
        <v>0</v>
      </c>
      <c r="N22" s="34">
        <f t="shared" ca="1" si="5"/>
        <v>0</v>
      </c>
      <c r="O22" s="34">
        <f t="shared" ca="1" si="5"/>
        <v>0</v>
      </c>
      <c r="P22" s="188">
        <f t="shared" ca="1" si="6"/>
        <v>0</v>
      </c>
    </row>
    <row r="23" spans="1:16" ht="15.95" customHeight="1" x14ac:dyDescent="0.3">
      <c r="A23" s="286" t="str">
        <f ca="1">"BS-B"&amp;IF(ROW($B23)-ROW($B$17)+1&gt;COUNTA(BankCode),"X",OFFSET(Setup!$A$32,1+ROW($B23)-ROW($B$17),0,1,1))</f>
        <v>BS-BB7</v>
      </c>
      <c r="B23" s="12" t="str">
        <f ca="1">IF(RIGHT($A23,1)="G",IF(ISNA(VLOOKUP(LEFT($A23,LEN($A23)-1),GroupAll,COLUMN(Groups!$B$4),0)),"Group Not Found",VLOOKUP(LEFT($A23,LEN($A23)-1),GroupAll,COLUMN(Groups!$B$4),0)),IF(ISNA(VLOOKUP($A23,AccountAll,COLUMN(TB!$B$4),0)),"Account Not Found",VLOOKUP($A23,AccountAll,COLUMN(TB!$B$4),0)))</f>
        <v>OSHA DODOMA</v>
      </c>
      <c r="C23" s="34" cm="1">
        <f t="array" aca="1" ref="C23" ca="1">IF(RIGHT($A23,1)="G",SUMIF(AccountAll,LEFT($A23,5)&amp;"*",AccountOpen),SUMIF(AccountAll,$A23,AccountOpen))</f>
        <v>0</v>
      </c>
      <c r="D23" s="34">
        <f t="shared" ca="1" si="5"/>
        <v>0</v>
      </c>
      <c r="E23" s="34">
        <f t="shared" ca="1" si="5"/>
        <v>0</v>
      </c>
      <c r="F23" s="34">
        <f t="shared" ca="1" si="5"/>
        <v>0</v>
      </c>
      <c r="G23" s="34">
        <f t="shared" ca="1" si="5"/>
        <v>0</v>
      </c>
      <c r="H23" s="34">
        <f t="shared" ca="1" si="5"/>
        <v>0</v>
      </c>
      <c r="I23" s="34">
        <f t="shared" ca="1" si="5"/>
        <v>0</v>
      </c>
      <c r="J23" s="34">
        <f t="shared" ca="1" si="5"/>
        <v>0</v>
      </c>
      <c r="K23" s="34">
        <f t="shared" ca="1" si="5"/>
        <v>0</v>
      </c>
      <c r="L23" s="34">
        <f t="shared" ca="1" si="5"/>
        <v>0</v>
      </c>
      <c r="M23" s="34">
        <f t="shared" ca="1" si="5"/>
        <v>0</v>
      </c>
      <c r="N23" s="34">
        <f t="shared" ca="1" si="5"/>
        <v>0</v>
      </c>
      <c r="O23" s="34">
        <f t="shared" ca="1" si="5"/>
        <v>0</v>
      </c>
      <c r="P23" s="188">
        <f t="shared" ca="1" si="6"/>
        <v>0</v>
      </c>
    </row>
    <row r="24" spans="1:16" ht="15.95" customHeight="1" x14ac:dyDescent="0.3">
      <c r="A24" s="286" t="str">
        <f ca="1">"BS-B"&amp;IF(ROW($B24)-ROW($B$17)+1&gt;COUNTA(BankCode),"X",OFFSET(Setup!$A$32,1+ROW($B24)-ROW($B$17),0,1,1))</f>
        <v>BS-BB8</v>
      </c>
      <c r="B24" s="12" t="str">
        <f ca="1">IF(RIGHT($A24,1)="G",IF(ISNA(VLOOKUP(LEFT($A24,LEN($A24)-1),GroupAll,COLUMN(Groups!$B$4),0)),"Group Not Found",VLOOKUP(LEFT($A24,LEN($A24)-1),GroupAll,COLUMN(Groups!$B$4),0)),IF(ISNA(VLOOKUP($A24,AccountAll,COLUMN(TB!$B$4),0)),"Account Not Found",VLOOKUP($A24,AccountAll,COLUMN(TB!$B$4),0)))</f>
        <v>MIKOCHENI</v>
      </c>
      <c r="C24" s="34" cm="1">
        <f t="array" aca="1" ref="C24" ca="1">IF(RIGHT($A24,1)="G",SUMIF(AccountAll,LEFT($A24,5)&amp;"*",AccountOpen),SUMIF(AccountAll,$A24,AccountOpen))</f>
        <v>0</v>
      </c>
      <c r="D24" s="34">
        <f t="shared" ca="1" si="5"/>
        <v>0</v>
      </c>
      <c r="E24" s="34">
        <f t="shared" ca="1" si="5"/>
        <v>0</v>
      </c>
      <c r="F24" s="34">
        <f t="shared" ca="1" si="5"/>
        <v>0</v>
      </c>
      <c r="G24" s="34">
        <f t="shared" ca="1" si="5"/>
        <v>0</v>
      </c>
      <c r="H24" s="34">
        <f t="shared" ca="1" si="5"/>
        <v>0</v>
      </c>
      <c r="I24" s="34">
        <f t="shared" ca="1" si="5"/>
        <v>0</v>
      </c>
      <c r="J24" s="34">
        <f t="shared" ca="1" si="5"/>
        <v>0</v>
      </c>
      <c r="K24" s="34">
        <f t="shared" ca="1" si="5"/>
        <v>0</v>
      </c>
      <c r="L24" s="34">
        <f t="shared" ca="1" si="5"/>
        <v>0</v>
      </c>
      <c r="M24" s="34">
        <f t="shared" ca="1" si="5"/>
        <v>0</v>
      </c>
      <c r="N24" s="34">
        <f t="shared" ca="1" si="5"/>
        <v>0</v>
      </c>
      <c r="O24" s="34">
        <f t="shared" ca="1" si="5"/>
        <v>0</v>
      </c>
      <c r="P24" s="188">
        <f t="shared" ca="1" si="6"/>
        <v>0</v>
      </c>
    </row>
    <row r="25" spans="1:16" ht="15.95" customHeight="1" x14ac:dyDescent="0.3">
      <c r="A25" s="286" t="str">
        <f ca="1">"BS-B"&amp;IF(ROW($B25)-ROW($B$17)+1&gt;COUNTA(BankCode),"X",OFFSET(Setup!$A$32,1+ROW($B25)-ROW($B$17),0,1,1))</f>
        <v>BS-BB9</v>
      </c>
      <c r="B25" s="12" t="str">
        <f ca="1">IF(RIGHT($A25,1)="G",IF(ISNA(VLOOKUP(LEFT($A25,LEN($A25)-1),GroupAll,COLUMN(Groups!$B$4),0)),"Group Not Found",VLOOKUP(LEFT($A25,LEN($A25)-1),GroupAll,COLUMN(Groups!$B$4),0)),IF(ISNA(VLOOKUP($A25,AccountAll,COLUMN(TB!$B$4),0)),"Account Not Found",VLOOKUP($A25,AccountAll,COLUMN(TB!$B$4),0)))</f>
        <v>JACARANDA</v>
      </c>
      <c r="C25" s="34" cm="1">
        <f t="array" aca="1" ref="C25" ca="1">IF(RIGHT($A25,1)="G",SUMIF(AccountAll,LEFT($A25,5)&amp;"*",AccountOpen),SUMIF(AccountAll,$A25,AccountOpen))</f>
        <v>0</v>
      </c>
      <c r="D25" s="34">
        <f t="shared" ca="1" si="5"/>
        <v>0</v>
      </c>
      <c r="E25" s="34">
        <f t="shared" ca="1" si="5"/>
        <v>0</v>
      </c>
      <c r="F25" s="34">
        <f t="shared" ca="1" si="5"/>
        <v>0</v>
      </c>
      <c r="G25" s="34">
        <f t="shared" ca="1" si="5"/>
        <v>0</v>
      </c>
      <c r="H25" s="34">
        <f t="shared" ca="1" si="5"/>
        <v>0</v>
      </c>
      <c r="I25" s="34">
        <f t="shared" ca="1" si="5"/>
        <v>0</v>
      </c>
      <c r="J25" s="34">
        <f t="shared" ca="1" si="5"/>
        <v>0</v>
      </c>
      <c r="K25" s="34">
        <f t="shared" ca="1" si="5"/>
        <v>0</v>
      </c>
      <c r="L25" s="34">
        <f t="shared" ca="1" si="5"/>
        <v>0</v>
      </c>
      <c r="M25" s="34">
        <f t="shared" ca="1" si="5"/>
        <v>0</v>
      </c>
      <c r="N25" s="34">
        <f t="shared" ca="1" si="5"/>
        <v>0</v>
      </c>
      <c r="O25" s="34">
        <f t="shared" ca="1" si="5"/>
        <v>0</v>
      </c>
      <c r="P25" s="188">
        <f t="shared" ca="1" si="6"/>
        <v>0</v>
      </c>
    </row>
    <row r="26" spans="1:16" ht="15.95" customHeight="1" x14ac:dyDescent="0.3">
      <c r="A26" s="286" t="str">
        <f ca="1">"BS-B"&amp;IF(ROW($B26)-ROW($B$17)+1&gt;COUNTA(BankCode),"X",OFFSET(Setup!$A$32,1+ROW($B26)-ROW($B$17),0,1,1))</f>
        <v>BS-BB10</v>
      </c>
      <c r="B26" s="12" t="str">
        <f ca="1">IF(RIGHT($A26,1)="G",IF(ISNA(VLOOKUP(LEFT($A26,LEN($A26)-1),GroupAll,COLUMN(Groups!$B$4),0)),"Group Not Found",VLOOKUP(LEFT($A26,LEN($A26)-1),GroupAll,COLUMN(Groups!$B$4),0)),IF(ISNA(VLOOKUP($A26,AccountAll,COLUMN(TB!$B$4),0)),"Account Not Found",VLOOKUP($A26,AccountAll,COLUMN(TB!$B$4),0)))</f>
        <v>GANGILONGA</v>
      </c>
      <c r="C26" s="34" cm="1">
        <f t="array" aca="1" ref="C26" ca="1">IF(RIGHT($A26,1)="G",SUMIF(AccountAll,LEFT($A26,5)&amp;"*",AccountOpen),SUMIF(AccountAll,$A26,AccountOpen))</f>
        <v>0</v>
      </c>
      <c r="D26" s="34">
        <f t="shared" ca="1" si="5"/>
        <v>0</v>
      </c>
      <c r="E26" s="34">
        <f t="shared" ca="1" si="5"/>
        <v>0</v>
      </c>
      <c r="F26" s="34">
        <f t="shared" ca="1" si="5"/>
        <v>0</v>
      </c>
      <c r="G26" s="34">
        <f t="shared" ca="1" si="5"/>
        <v>0</v>
      </c>
      <c r="H26" s="34">
        <f t="shared" ca="1" si="5"/>
        <v>0</v>
      </c>
      <c r="I26" s="34">
        <f t="shared" ca="1" si="5"/>
        <v>0</v>
      </c>
      <c r="J26" s="34">
        <f t="shared" ca="1" si="5"/>
        <v>0</v>
      </c>
      <c r="K26" s="34">
        <f t="shared" ca="1" si="5"/>
        <v>0</v>
      </c>
      <c r="L26" s="34">
        <f t="shared" ca="1" si="5"/>
        <v>0</v>
      </c>
      <c r="M26" s="34">
        <f t="shared" ca="1" si="5"/>
        <v>0</v>
      </c>
      <c r="N26" s="34">
        <f t="shared" ca="1" si="5"/>
        <v>0</v>
      </c>
      <c r="O26" s="34">
        <f t="shared" ca="1" si="5"/>
        <v>0</v>
      </c>
      <c r="P26" s="188">
        <f t="shared" ca="1" si="6"/>
        <v>0</v>
      </c>
    </row>
    <row r="27" spans="1:16" ht="15.95" customHeight="1" x14ac:dyDescent="0.3">
      <c r="A27" s="286" t="str">
        <f ca="1">"BS-B"&amp;IF(ROW($B27)-ROW($B$17)+1&gt;COUNTA(BankCode),"X",OFFSET(Setup!$A$32,1+ROW($B27)-ROW($B$17),0,1,1))</f>
        <v>BS-BB11</v>
      </c>
      <c r="B27" s="12" t="str">
        <f ca="1">IF(RIGHT($A27,1)="G",IF(ISNA(VLOOKUP(LEFT($A27,LEN($A27)-1),GroupAll,COLUMN(Groups!$B$4),0)),"Group Not Found",VLOOKUP(LEFT($A27,LEN($A27)-1),GroupAll,COLUMN(Groups!$B$4),0)),IF(ISNA(VLOOKUP($A27,AccountAll,COLUMN(TB!$B$4),0)),"Account Not Found",VLOOKUP($A27,AccountAll,COLUMN(TB!$B$4),0)))</f>
        <v>PAWAGA ROAD FLAT</v>
      </c>
      <c r="C27" s="34" cm="1">
        <f t="array" aca="1" ref="C27" ca="1">IF(RIGHT($A27,1)="G",SUMIF(AccountAll,LEFT($A27,5)&amp;"*",AccountOpen),SUMIF(AccountAll,$A27,AccountOpen))</f>
        <v>0</v>
      </c>
      <c r="D27" s="34">
        <f t="shared" ca="1" si="5"/>
        <v>-475106.13</v>
      </c>
      <c r="E27" s="34">
        <f t="shared" ca="1" si="5"/>
        <v>-475106.13</v>
      </c>
      <c r="F27" s="34">
        <f t="shared" ca="1" si="5"/>
        <v>-475106.13</v>
      </c>
      <c r="G27" s="34">
        <f t="shared" ca="1" si="5"/>
        <v>-475106.13</v>
      </c>
      <c r="H27" s="34">
        <f t="shared" ca="1" si="5"/>
        <v>-475106.13</v>
      </c>
      <c r="I27" s="34">
        <f t="shared" ca="1" si="5"/>
        <v>-475106.13</v>
      </c>
      <c r="J27" s="34">
        <f t="shared" ca="1" si="5"/>
        <v>-475106.13</v>
      </c>
      <c r="K27" s="34">
        <f t="shared" ca="1" si="5"/>
        <v>-475106.13</v>
      </c>
      <c r="L27" s="34">
        <f t="shared" ca="1" si="5"/>
        <v>-475106.13</v>
      </c>
      <c r="M27" s="34">
        <f t="shared" ca="1" si="5"/>
        <v>-475106.13</v>
      </c>
      <c r="N27" s="34">
        <f t="shared" ca="1" si="5"/>
        <v>-475106.13</v>
      </c>
      <c r="O27" s="34">
        <f t="shared" ca="1" si="5"/>
        <v>-475106.13</v>
      </c>
      <c r="P27" s="188">
        <f t="shared" ca="1" si="6"/>
        <v>-475106.13</v>
      </c>
    </row>
    <row r="28" spans="1:16" ht="15.95" customHeight="1" x14ac:dyDescent="0.3">
      <c r="A28" s="286" t="str">
        <f ca="1">"BS-B"&amp;IF(ROW($B28)-ROW($B$17)+1&gt;COUNTA(BankCode),"X",OFFSET(Setup!$A$32,1+ROW($B28)-ROW($B$17),0,1,1))</f>
        <v>BS-BB12</v>
      </c>
      <c r="B28" s="12" t="str">
        <f ca="1">IF(RIGHT($A28,1)="G",IF(ISNA(VLOOKUP(LEFT($A28,LEN($A28)-1),GroupAll,COLUMN(Groups!$B$4),0)),"Group Not Found",VLOOKUP(LEFT($A28,LEN($A28)-1),GroupAll,COLUMN(Groups!$B$4),0)),IF(ISNA(VLOOKUP($A28,AccountAll,COLUMN(TB!$B$4),0)),"Account Not Found",VLOOKUP($A28,AccountAll,COLUMN(TB!$B$4),0)))</f>
        <v>SONGWE</v>
      </c>
      <c r="C28" s="34" cm="1">
        <f t="array" aca="1" ref="C28" ca="1">IF(RIGHT($A28,1)="G",SUMIF(AccountAll,LEFT($A28,5)&amp;"*",AccountOpen),SUMIF(AccountAll,$A28,AccountOpen))</f>
        <v>0</v>
      </c>
      <c r="D28" s="34">
        <f t="shared" ca="1" si="5"/>
        <v>0</v>
      </c>
      <c r="E28" s="34">
        <f t="shared" ca="1" si="5"/>
        <v>0</v>
      </c>
      <c r="F28" s="34">
        <f t="shared" ca="1" si="5"/>
        <v>0</v>
      </c>
      <c r="G28" s="34">
        <f t="shared" ca="1" si="5"/>
        <v>0</v>
      </c>
      <c r="H28" s="34">
        <f t="shared" ca="1" si="5"/>
        <v>0</v>
      </c>
      <c r="I28" s="34">
        <f t="shared" ca="1" si="5"/>
        <v>0</v>
      </c>
      <c r="J28" s="34">
        <f t="shared" ca="1" si="5"/>
        <v>0</v>
      </c>
      <c r="K28" s="34">
        <f t="shared" ca="1" si="5"/>
        <v>0</v>
      </c>
      <c r="L28" s="34">
        <f t="shared" ca="1" si="5"/>
        <v>0</v>
      </c>
      <c r="M28" s="34">
        <f t="shared" ca="1" si="5"/>
        <v>0</v>
      </c>
      <c r="N28" s="34">
        <f t="shared" ca="1" si="5"/>
        <v>0</v>
      </c>
      <c r="O28" s="34">
        <f t="shared" ca="1" si="5"/>
        <v>0</v>
      </c>
      <c r="P28" s="188">
        <f t="shared" ca="1" si="6"/>
        <v>0</v>
      </c>
    </row>
    <row r="29" spans="1:16" ht="15.95" customHeight="1" x14ac:dyDescent="0.3">
      <c r="A29" s="286" t="str">
        <f ca="1">"BS-B"&amp;IF(ROW($B29)-ROW($B$17)+1&gt;COUNTA(BankCode),"X",OFFSET(Setup!$A$32,1+ROW($B29)-ROW($B$17),0,1,1))</f>
        <v>BS-BB13</v>
      </c>
      <c r="B29" s="12" t="str">
        <f ca="1">IF(RIGHT($A29,1)="G",IF(ISNA(VLOOKUP(LEFT($A29,LEN($A29)-1),GroupAll,COLUMN(Groups!$B$4),0)),"Group Not Found",VLOOKUP(LEFT($A29,LEN($A29)-1),GroupAll,COLUMN(Groups!$B$4),0)),IF(ISNA(VLOOKUP($A29,AccountAll,COLUMN(TB!$B$4),0)),"Account Not Found",VLOOKUP($A29,AccountAll,COLUMN(TB!$B$4),0)))</f>
        <v>MBEYA</v>
      </c>
      <c r="C29" s="34" cm="1">
        <f t="array" aca="1" ref="C29" ca="1">IF(RIGHT($A29,1)="G",SUMIF(AccountAll,LEFT($A29,5)&amp;"*",AccountOpen),SUMIF(AccountAll,$A29,AccountOpen))</f>
        <v>0</v>
      </c>
      <c r="D29" s="34">
        <f t="shared" ca="1" si="5"/>
        <v>0</v>
      </c>
      <c r="E29" s="34">
        <f t="shared" ca="1" si="5"/>
        <v>0</v>
      </c>
      <c r="F29" s="34">
        <f t="shared" ca="1" si="5"/>
        <v>0</v>
      </c>
      <c r="G29" s="34">
        <f t="shared" ca="1" si="5"/>
        <v>0</v>
      </c>
      <c r="H29" s="34">
        <f t="shared" ca="1" si="5"/>
        <v>0</v>
      </c>
      <c r="I29" s="34">
        <f t="shared" ca="1" si="5"/>
        <v>0</v>
      </c>
      <c r="J29" s="34">
        <f t="shared" ca="1" si="5"/>
        <v>0</v>
      </c>
      <c r="K29" s="34">
        <f t="shared" ca="1" si="5"/>
        <v>0</v>
      </c>
      <c r="L29" s="34">
        <f t="shared" ca="1" si="5"/>
        <v>0</v>
      </c>
      <c r="M29" s="34">
        <f t="shared" ca="1" si="5"/>
        <v>0</v>
      </c>
      <c r="N29" s="34">
        <f t="shared" ca="1" si="5"/>
        <v>0</v>
      </c>
      <c r="O29" s="34">
        <f t="shared" ca="1" si="5"/>
        <v>0</v>
      </c>
      <c r="P29" s="188">
        <f t="shared" ca="1" si="6"/>
        <v>0</v>
      </c>
    </row>
    <row r="30" spans="1:16" ht="15.95" customHeight="1" x14ac:dyDescent="0.3">
      <c r="A30" s="286" t="str">
        <f ca="1">"BS-B"&amp;IF(ROW($B30)-ROW($B$17)+1&gt;COUNTA(BankCode),"X",OFFSET(Setup!$A$32,1+ROW($B30)-ROW($B$17),0,1,1))</f>
        <v>BS-BB14</v>
      </c>
      <c r="B30" s="12" t="str">
        <f ca="1">IF(RIGHT($A30,1)="G",IF(ISNA(VLOOKUP(LEFT($A30,LEN($A30)-1),GroupAll,COLUMN(Groups!$B$4),0)),"Group Not Found",VLOOKUP(LEFT($A30,LEN($A30)-1),GroupAll,COLUMN(Groups!$B$4),0)),IF(ISNA(VLOOKUP($A30,AccountAll,COLUMN(TB!$B$4),0)),"Account Not Found",VLOOKUP($A30,AccountAll,COLUMN(TB!$B$4),0)))</f>
        <v>NJOMBE</v>
      </c>
      <c r="C30" s="34" cm="1">
        <f t="array" aca="1" ref="C30" ca="1">IF(RIGHT($A30,1)="G",SUMIF(AccountAll,LEFT($A30,5)&amp;"*",AccountOpen),SUMIF(AccountAll,$A30,AccountOpen))</f>
        <v>0</v>
      </c>
      <c r="D30" s="34">
        <f t="shared" ca="1" si="5"/>
        <v>0</v>
      </c>
      <c r="E30" s="34">
        <f t="shared" ca="1" si="5"/>
        <v>0</v>
      </c>
      <c r="F30" s="34">
        <f t="shared" ca="1" si="5"/>
        <v>0</v>
      </c>
      <c r="G30" s="34">
        <f t="shared" ca="1" si="5"/>
        <v>0</v>
      </c>
      <c r="H30" s="34">
        <f t="shared" ca="1" si="5"/>
        <v>0</v>
      </c>
      <c r="I30" s="34">
        <f t="shared" ca="1" si="5"/>
        <v>0</v>
      </c>
      <c r="J30" s="34">
        <f t="shared" ca="1" si="5"/>
        <v>0</v>
      </c>
      <c r="K30" s="34">
        <f t="shared" ca="1" si="5"/>
        <v>0</v>
      </c>
      <c r="L30" s="34">
        <f t="shared" ca="1" si="5"/>
        <v>0</v>
      </c>
      <c r="M30" s="34">
        <f t="shared" ca="1" si="5"/>
        <v>0</v>
      </c>
      <c r="N30" s="34">
        <f t="shared" ca="1" si="5"/>
        <v>0</v>
      </c>
      <c r="O30" s="34">
        <f t="shared" ca="1" si="5"/>
        <v>0</v>
      </c>
      <c r="P30" s="188">
        <f t="shared" ca="1" si="4"/>
        <v>0</v>
      </c>
    </row>
    <row r="31" spans="1:16" ht="15.95" customHeight="1" x14ac:dyDescent="0.3">
      <c r="A31" s="286" t="str">
        <f ca="1">"BS-B"&amp;IF(ROW($B31)-ROW($B$17)+1&gt;COUNTA(BankCode),"X",OFFSET(Setup!$A$32,1+ROW($B31)-ROW($B$17),0,1,1))</f>
        <v>BS-BB15</v>
      </c>
      <c r="B31" s="12" t="str">
        <f ca="1">IF(RIGHT($A31,1)="G",IF(ISNA(VLOOKUP(LEFT($A31,LEN($A31)-1),GroupAll,COLUMN(Groups!$B$4),0)),"Group Not Found",VLOOKUP(LEFT($A31,LEN($A31)-1),GroupAll,COLUMN(Groups!$B$4),0)),IF(ISNA(VLOOKUP($A31,AccountAll,COLUMN(TB!$B$4),0)),"Account Not Found",VLOOKUP($A31,AccountAll,COLUMN(TB!$B$4),0)))</f>
        <v>QUALITY PLAZA</v>
      </c>
      <c r="C31" s="34" cm="1">
        <f t="array" aca="1" ref="C31" ca="1">IF(RIGHT($A31,1)="G",SUMIF(AccountAll,LEFT($A31,5)&amp;"*",AccountOpen),SUMIF(AccountAll,$A31,AccountOpen))</f>
        <v>0</v>
      </c>
      <c r="D31" s="34">
        <f t="shared" ca="1" si="5"/>
        <v>0</v>
      </c>
      <c r="E31" s="34">
        <f t="shared" ca="1" si="5"/>
        <v>0</v>
      </c>
      <c r="F31" s="34">
        <f t="shared" ca="1" si="5"/>
        <v>0</v>
      </c>
      <c r="G31" s="34">
        <f t="shared" ca="1" si="5"/>
        <v>0</v>
      </c>
      <c r="H31" s="34">
        <f t="shared" ca="1" si="5"/>
        <v>0</v>
      </c>
      <c r="I31" s="34">
        <f t="shared" ca="1" si="5"/>
        <v>0</v>
      </c>
      <c r="J31" s="34">
        <f t="shared" ca="1" si="5"/>
        <v>0</v>
      </c>
      <c r="K31" s="34">
        <f t="shared" ca="1" si="5"/>
        <v>0</v>
      </c>
      <c r="L31" s="34">
        <f t="shared" ca="1" si="5"/>
        <v>0</v>
      </c>
      <c r="M31" s="34">
        <f t="shared" ca="1" si="5"/>
        <v>0</v>
      </c>
      <c r="N31" s="34">
        <f t="shared" ca="1" si="5"/>
        <v>0</v>
      </c>
      <c r="O31" s="34">
        <f t="shared" ca="1" si="5"/>
        <v>0</v>
      </c>
      <c r="P31" s="188">
        <f t="shared" ref="P31" ca="1" si="7">O31</f>
        <v>0</v>
      </c>
    </row>
    <row r="32" spans="1:16" ht="15.95" customHeight="1" x14ac:dyDescent="0.3">
      <c r="A32" s="286" t="str">
        <f ca="1">"BS-B"&amp;IF(ROW($B32)-ROW($B$17)+1&gt;COUNTA(BankCode),"X",OFFSET(Setup!$A$32,1+ROW($B32)-ROW($B$17),0,1,1))</f>
        <v>BS-BB16</v>
      </c>
      <c r="B32" s="12" t="str">
        <f ca="1">IF(RIGHT($A32,1)="G",IF(ISNA(VLOOKUP(LEFT($A32,LEN($A32)-1),GroupAll,COLUMN(Groups!$B$4),0)),"Group Not Found",VLOOKUP(LEFT($A32,LEN($A32)-1),GroupAll,COLUMN(Groups!$B$4),0)),IF(ISNA(VLOOKUP($A32,AccountAll,COLUMN(TB!$B$4),0)),"Account Not Found",VLOOKUP($A32,AccountAll,COLUMN(TB!$B$4),0)))</f>
        <v>EXIM BANK</v>
      </c>
      <c r="C32" s="34" cm="1">
        <f t="array" aca="1" ref="C32" ca="1">IF(RIGHT($A32,1)="G",SUMIF(AccountAll,LEFT($A32,5)&amp;"*",AccountOpen),SUMIF(AccountAll,$A32,AccountOpen))</f>
        <v>649000</v>
      </c>
      <c r="D32" s="34">
        <f t="shared" ca="1" si="5"/>
        <v>1349000</v>
      </c>
      <c r="E32" s="34">
        <f t="shared" ca="1" si="5"/>
        <v>3044000</v>
      </c>
      <c r="F32" s="34">
        <f t="shared" ca="1" si="5"/>
        <v>3044000</v>
      </c>
      <c r="G32" s="34">
        <f t="shared" ca="1" si="5"/>
        <v>3044000</v>
      </c>
      <c r="H32" s="34">
        <f t="shared" ca="1" si="5"/>
        <v>3044000</v>
      </c>
      <c r="I32" s="34">
        <f t="shared" ca="1" si="5"/>
        <v>3044000</v>
      </c>
      <c r="J32" s="34">
        <f t="shared" ca="1" si="5"/>
        <v>3044000</v>
      </c>
      <c r="K32" s="34">
        <f t="shared" ca="1" si="5"/>
        <v>3044000</v>
      </c>
      <c r="L32" s="34">
        <f t="shared" ca="1" si="5"/>
        <v>3044000</v>
      </c>
      <c r="M32" s="34">
        <f t="shared" ca="1" si="5"/>
        <v>3044000</v>
      </c>
      <c r="N32" s="34">
        <f t="shared" ca="1" si="5"/>
        <v>3044000</v>
      </c>
      <c r="O32" s="34">
        <f t="shared" ca="1" si="5"/>
        <v>3044000</v>
      </c>
      <c r="P32" s="188">
        <f t="shared" ref="P32" ca="1" si="8">O32</f>
        <v>3044000</v>
      </c>
    </row>
    <row r="33" spans="1:16" ht="15.95" customHeight="1" x14ac:dyDescent="0.3">
      <c r="A33" s="286" t="str">
        <f ca="1">"BS-B"&amp;IF(ROW($B33)-ROW($B$17)+1&gt;COUNTA(BankCode),"X",OFFSET(Setup!$A$32,1+ROW($B33)-ROW($B$17),0,1,1))</f>
        <v>BS-BPC</v>
      </c>
      <c r="B33" s="12" t="str">
        <f ca="1">IF(RIGHT($A33,1)="G",IF(ISNA(VLOOKUP(LEFT($A33,LEN($A33)-1),GroupAll,COLUMN(Groups!$B$4),0)),"Group Not Found",VLOOKUP(LEFT($A33,LEN($A33)-1),GroupAll,COLUMN(Groups!$B$4),0)),IF(ISNA(VLOOKUP($A33,AccountAll,COLUMN(TB!$B$4),0)),"Account Not Found",VLOOKUP($A33,AccountAll,COLUMN(TB!$B$4),0)))</f>
        <v>PC Petty Cash</v>
      </c>
      <c r="C33" s="34" cm="1">
        <f t="array" aca="1" ref="C33" ca="1">IF(RIGHT($A33,1)="G",SUMIF(AccountAll,LEFT($A33,5)&amp;"*",AccountOpen),SUMIF(AccountAll,$A33,AccountOpen))</f>
        <v>0</v>
      </c>
      <c r="D33" s="34">
        <f t="shared" ca="1" si="5"/>
        <v>300000</v>
      </c>
      <c r="E33" s="34">
        <f t="shared" ca="1" si="5"/>
        <v>300000</v>
      </c>
      <c r="F33" s="34">
        <f t="shared" ca="1" si="5"/>
        <v>300000</v>
      </c>
      <c r="G33" s="34">
        <f t="shared" ca="1" si="5"/>
        <v>300000</v>
      </c>
      <c r="H33" s="34">
        <f t="shared" ca="1" si="5"/>
        <v>300000</v>
      </c>
      <c r="I33" s="34">
        <f t="shared" ca="1" si="5"/>
        <v>300000</v>
      </c>
      <c r="J33" s="34">
        <f t="shared" ca="1" si="5"/>
        <v>300000</v>
      </c>
      <c r="K33" s="34">
        <f t="shared" ca="1" si="5"/>
        <v>300000</v>
      </c>
      <c r="L33" s="34">
        <f t="shared" ca="1" si="5"/>
        <v>300000</v>
      </c>
      <c r="M33" s="34">
        <f t="shared" ca="1" si="5"/>
        <v>300000</v>
      </c>
      <c r="N33" s="34">
        <f t="shared" ca="1" si="5"/>
        <v>300000</v>
      </c>
      <c r="O33" s="34">
        <f t="shared" ca="1" si="5"/>
        <v>300000</v>
      </c>
      <c r="P33" s="188">
        <f t="shared" ref="P33" ca="1" si="9">O33</f>
        <v>300000</v>
      </c>
    </row>
    <row r="34" spans="1:16" ht="15.95" customHeight="1" x14ac:dyDescent="0.3">
      <c r="A34" s="286" t="str">
        <f ca="1">"BS-B"&amp;IF(ROW($B34)-ROW($B$17)+1&gt;COUNTA(BankCode),"X",OFFSET(Setup!$A$32,1+ROW($B34)-ROW($B$17),0,1,1))</f>
        <v>BS-BJC</v>
      </c>
      <c r="B34" s="12" t="str">
        <f ca="1">IF(RIGHT($A34,1)="G",IF(ISNA(VLOOKUP(LEFT($A34,LEN($A34)-1),GroupAll,COLUMN(Groups!$B$4),0)),"Group Not Found",VLOOKUP(LEFT($A34,LEN($A34)-1),GroupAll,COLUMN(Groups!$B$4),0)),IF(ISNA(VLOOKUP($A34,AccountAll,COLUMN(TB!$B$4),0)),"Account Not Found",VLOOKUP($A34,AccountAll,COLUMN(TB!$B$4),0)))</f>
        <v>GL Journal Control</v>
      </c>
      <c r="C34" s="34" cm="1">
        <f t="array" aca="1" ref="C34" ca="1">IF(RIGHT($A34,1)="G",SUMIF(AccountAll,LEFT($A34,5)&amp;"*",AccountOpen),SUMIF(AccountAll,$A34,AccountOpen))</f>
        <v>0</v>
      </c>
      <c r="D34" s="34">
        <f t="shared" ca="1" si="5"/>
        <v>2702200</v>
      </c>
      <c r="E34" s="34">
        <f t="shared" ca="1" si="5"/>
        <v>2702200</v>
      </c>
      <c r="F34" s="34">
        <f t="shared" ca="1" si="5"/>
        <v>2702200</v>
      </c>
      <c r="G34" s="34">
        <f t="shared" ca="1" si="5"/>
        <v>2702200</v>
      </c>
      <c r="H34" s="34">
        <f t="shared" ca="1" si="5"/>
        <v>2702200</v>
      </c>
      <c r="I34" s="34">
        <f t="shared" ca="1" si="5"/>
        <v>2702200</v>
      </c>
      <c r="J34" s="34">
        <f t="shared" ca="1" si="5"/>
        <v>2702200</v>
      </c>
      <c r="K34" s="34">
        <f t="shared" ca="1" si="5"/>
        <v>2702200</v>
      </c>
      <c r="L34" s="34">
        <f t="shared" ca="1" si="5"/>
        <v>2702200</v>
      </c>
      <c r="M34" s="34">
        <f t="shared" ca="1" si="5"/>
        <v>2702200</v>
      </c>
      <c r="N34" s="34">
        <f t="shared" ca="1" si="5"/>
        <v>2702200</v>
      </c>
      <c r="O34" s="34">
        <f t="shared" ca="1" si="5"/>
        <v>2702200</v>
      </c>
      <c r="P34" s="188">
        <f t="shared" ca="1" si="4"/>
        <v>2702200</v>
      </c>
    </row>
    <row r="35" spans="1:16" ht="15.95" customHeight="1" x14ac:dyDescent="0.3">
      <c r="A35" s="284" t="s">
        <v>170</v>
      </c>
      <c r="B35" s="12" t="str">
        <f ca="1">IF(RIGHT($A35,1)="G",IF(ISNA(VLOOKUP(LEFT($A35,LEN($A35)-1),GroupAll,COLUMN(Groups!$B$4),0)),"Group Not Found",VLOOKUP(LEFT($A35,LEN($A35)-1),GroupAll,COLUMN(Groups!$B$4),0)),IF(ISNA(VLOOKUP($A35,AccountAll,COLUMN(TB!$B$4),0)),"Account Not Found",VLOOKUP($A35,AccountAll,COLUMN(TB!$B$4),0)))</f>
        <v>Cash On Hand</v>
      </c>
      <c r="C35" s="34" cm="1">
        <f t="array" aca="1" ref="C35" ca="1">IF(RIGHT($A35,1)="G",SUMIF(AccountAll,LEFT($A35,5)&amp;"*",AccountOpen),SUMIF(AccountAll,$A35,AccountOpen))</f>
        <v>0</v>
      </c>
      <c r="D35" s="34" cm="1">
        <f t="array" aca="1" ref="D35" ca="1">C35+IF(RIGHT($A35,1)="G",-SUMIFS(IncExcl,IncDocDate,"&gt;="&amp;DATE(YEAR(D$4),MONTH(D$4),1),IncDocDate,"&lt;="&amp;D$4,IncAccount,LEFT($A35,5)&amp;"*")+SUMIFS(ExpExcl,ExpDocDate,"&gt;="&amp;DATE(YEAR(D$4),MONTH(D$4),1),ExpDocDate,"&lt;="&amp;D$4,ExpAccount,LEFT($A35,5)&amp;"*"),-SUMIFS(IncExcl,IncDocDate,"&gt;="&amp;DATE(YEAR(D$4),MONTH(D$4),1),IncDocDate,"&lt;="&amp;D$4,IncAccount,$A35)+SUMIFS(ExpExcl,ExpDocDate,"&gt;="&amp;DATE(YEAR(D$4),MONTH(D$4),1),ExpDocDate,"&lt;="&amp;D$4,ExpAccount,$A35))</f>
        <v>0</v>
      </c>
      <c r="E35" s="34" cm="1">
        <f t="array" aca="1" ref="E35" ca="1">D35+IF(RIGHT($A35,1)="G",-SUMIFS(IncExcl,IncDocDate,"&gt;="&amp;DATE(YEAR(E$4),MONTH(E$4),1),IncDocDate,"&lt;="&amp;E$4,IncAccount,LEFT($A35,5)&amp;"*")+SUMIFS(ExpExcl,ExpDocDate,"&gt;="&amp;DATE(YEAR(E$4),MONTH(E$4),1),ExpDocDate,"&lt;="&amp;E$4,ExpAccount,LEFT($A35,5)&amp;"*"),-SUMIFS(IncExcl,IncDocDate,"&gt;="&amp;DATE(YEAR(E$4),MONTH(E$4),1),IncDocDate,"&lt;="&amp;E$4,IncAccount,$A35)+SUMIFS(ExpExcl,ExpDocDate,"&gt;="&amp;DATE(YEAR(E$4),MONTH(E$4),1),ExpDocDate,"&lt;="&amp;E$4,ExpAccount,$A35))</f>
        <v>0</v>
      </c>
      <c r="F35" s="34" cm="1">
        <f t="array" aca="1" ref="F35" ca="1">E35+IF(RIGHT($A35,1)="G",-SUMIFS(IncExcl,IncDocDate,"&gt;="&amp;DATE(YEAR(F$4),MONTH(F$4),1),IncDocDate,"&lt;="&amp;F$4,IncAccount,LEFT($A35,5)&amp;"*")+SUMIFS(ExpExcl,ExpDocDate,"&gt;="&amp;DATE(YEAR(F$4),MONTH(F$4),1),ExpDocDate,"&lt;="&amp;F$4,ExpAccount,LEFT($A35,5)&amp;"*"),-SUMIFS(IncExcl,IncDocDate,"&gt;="&amp;DATE(YEAR(F$4),MONTH(F$4),1),IncDocDate,"&lt;="&amp;F$4,IncAccount,$A35)+SUMIFS(ExpExcl,ExpDocDate,"&gt;="&amp;DATE(YEAR(F$4),MONTH(F$4),1),ExpDocDate,"&lt;="&amp;F$4,ExpAccount,$A35))</f>
        <v>0</v>
      </c>
      <c r="G35" s="34" cm="1">
        <f t="array" aca="1" ref="G35" ca="1">F35+IF(RIGHT($A35,1)="G",-SUMIFS(IncExcl,IncDocDate,"&gt;="&amp;DATE(YEAR(G$4),MONTH(G$4),1),IncDocDate,"&lt;="&amp;G$4,IncAccount,LEFT($A35,5)&amp;"*")+SUMIFS(ExpExcl,ExpDocDate,"&gt;="&amp;DATE(YEAR(G$4),MONTH(G$4),1),ExpDocDate,"&lt;="&amp;G$4,ExpAccount,LEFT($A35,5)&amp;"*"),-SUMIFS(IncExcl,IncDocDate,"&gt;="&amp;DATE(YEAR(G$4),MONTH(G$4),1),IncDocDate,"&lt;="&amp;G$4,IncAccount,$A35)+SUMIFS(ExpExcl,ExpDocDate,"&gt;="&amp;DATE(YEAR(G$4),MONTH(G$4),1),ExpDocDate,"&lt;="&amp;G$4,ExpAccount,$A35))</f>
        <v>0</v>
      </c>
      <c r="H35" s="34" cm="1">
        <f t="array" aca="1" ref="H35" ca="1">G35+IF(RIGHT($A35,1)="G",-SUMIFS(IncExcl,IncDocDate,"&gt;="&amp;DATE(YEAR(H$4),MONTH(H$4),1),IncDocDate,"&lt;="&amp;H$4,IncAccount,LEFT($A35,5)&amp;"*")+SUMIFS(ExpExcl,ExpDocDate,"&gt;="&amp;DATE(YEAR(H$4),MONTH(H$4),1),ExpDocDate,"&lt;="&amp;H$4,ExpAccount,LEFT($A35,5)&amp;"*"),-SUMIFS(IncExcl,IncDocDate,"&gt;="&amp;DATE(YEAR(H$4),MONTH(H$4),1),IncDocDate,"&lt;="&amp;H$4,IncAccount,$A35)+SUMIFS(ExpExcl,ExpDocDate,"&gt;="&amp;DATE(YEAR(H$4),MONTH(H$4),1),ExpDocDate,"&lt;="&amp;H$4,ExpAccount,$A35))</f>
        <v>0</v>
      </c>
      <c r="I35" s="34" cm="1">
        <f t="array" aca="1" ref="I35" ca="1">H35+IF(RIGHT($A35,1)="G",-SUMIFS(IncExcl,IncDocDate,"&gt;="&amp;DATE(YEAR(I$4),MONTH(I$4),1),IncDocDate,"&lt;="&amp;I$4,IncAccount,LEFT($A35,5)&amp;"*")+SUMIFS(ExpExcl,ExpDocDate,"&gt;="&amp;DATE(YEAR(I$4),MONTH(I$4),1),ExpDocDate,"&lt;="&amp;I$4,ExpAccount,LEFT($A35,5)&amp;"*"),-SUMIFS(IncExcl,IncDocDate,"&gt;="&amp;DATE(YEAR(I$4),MONTH(I$4),1),IncDocDate,"&lt;="&amp;I$4,IncAccount,$A35)+SUMIFS(ExpExcl,ExpDocDate,"&gt;="&amp;DATE(YEAR(I$4),MONTH(I$4),1),ExpDocDate,"&lt;="&amp;I$4,ExpAccount,$A35))</f>
        <v>0</v>
      </c>
      <c r="J35" s="34" cm="1">
        <f t="array" aca="1" ref="J35" ca="1">I35+IF(RIGHT($A35,1)="G",-SUMIFS(IncExcl,IncDocDate,"&gt;="&amp;DATE(YEAR(J$4),MONTH(J$4),1),IncDocDate,"&lt;="&amp;J$4,IncAccount,LEFT($A35,5)&amp;"*")+SUMIFS(ExpExcl,ExpDocDate,"&gt;="&amp;DATE(YEAR(J$4),MONTH(J$4),1),ExpDocDate,"&lt;="&amp;J$4,ExpAccount,LEFT($A35,5)&amp;"*"),-SUMIFS(IncExcl,IncDocDate,"&gt;="&amp;DATE(YEAR(J$4),MONTH(J$4),1),IncDocDate,"&lt;="&amp;J$4,IncAccount,$A35)+SUMIFS(ExpExcl,ExpDocDate,"&gt;="&amp;DATE(YEAR(J$4),MONTH(J$4),1),ExpDocDate,"&lt;="&amp;J$4,ExpAccount,$A35))</f>
        <v>0</v>
      </c>
      <c r="K35" s="34" cm="1">
        <f t="array" aca="1" ref="K35" ca="1">J35+IF(RIGHT($A35,1)="G",-SUMIFS(IncExcl,IncDocDate,"&gt;="&amp;DATE(YEAR(K$4),MONTH(K$4),1),IncDocDate,"&lt;="&amp;K$4,IncAccount,LEFT($A35,5)&amp;"*")+SUMIFS(ExpExcl,ExpDocDate,"&gt;="&amp;DATE(YEAR(K$4),MONTH(K$4),1),ExpDocDate,"&lt;="&amp;K$4,ExpAccount,LEFT($A35,5)&amp;"*"),-SUMIFS(IncExcl,IncDocDate,"&gt;="&amp;DATE(YEAR(K$4),MONTH(K$4),1),IncDocDate,"&lt;="&amp;K$4,IncAccount,$A35)+SUMIFS(ExpExcl,ExpDocDate,"&gt;="&amp;DATE(YEAR(K$4),MONTH(K$4),1),ExpDocDate,"&lt;="&amp;K$4,ExpAccount,$A35))</f>
        <v>0</v>
      </c>
      <c r="L35" s="34" cm="1">
        <f t="array" aca="1" ref="L35" ca="1">K35+IF(RIGHT($A35,1)="G",-SUMIFS(IncExcl,IncDocDate,"&gt;="&amp;DATE(YEAR(L$4),MONTH(L$4),1),IncDocDate,"&lt;="&amp;L$4,IncAccount,LEFT($A35,5)&amp;"*")+SUMIFS(ExpExcl,ExpDocDate,"&gt;="&amp;DATE(YEAR(L$4),MONTH(L$4),1),ExpDocDate,"&lt;="&amp;L$4,ExpAccount,LEFT($A35,5)&amp;"*"),-SUMIFS(IncExcl,IncDocDate,"&gt;="&amp;DATE(YEAR(L$4),MONTH(L$4),1),IncDocDate,"&lt;="&amp;L$4,IncAccount,$A35)+SUMIFS(ExpExcl,ExpDocDate,"&gt;="&amp;DATE(YEAR(L$4),MONTH(L$4),1),ExpDocDate,"&lt;="&amp;L$4,ExpAccount,$A35))</f>
        <v>0</v>
      </c>
      <c r="M35" s="34" cm="1">
        <f t="array" aca="1" ref="M35" ca="1">L35+IF(RIGHT($A35,1)="G",-SUMIFS(IncExcl,IncDocDate,"&gt;="&amp;DATE(YEAR(M$4),MONTH(M$4),1),IncDocDate,"&lt;="&amp;M$4,IncAccount,LEFT($A35,5)&amp;"*")+SUMIFS(ExpExcl,ExpDocDate,"&gt;="&amp;DATE(YEAR(M$4),MONTH(M$4),1),ExpDocDate,"&lt;="&amp;M$4,ExpAccount,LEFT($A35,5)&amp;"*"),-SUMIFS(IncExcl,IncDocDate,"&gt;="&amp;DATE(YEAR(M$4),MONTH(M$4),1),IncDocDate,"&lt;="&amp;M$4,IncAccount,$A35)+SUMIFS(ExpExcl,ExpDocDate,"&gt;="&amp;DATE(YEAR(M$4),MONTH(M$4),1),ExpDocDate,"&lt;="&amp;M$4,ExpAccount,$A35))</f>
        <v>0</v>
      </c>
      <c r="N35" s="34" cm="1">
        <f t="array" aca="1" ref="N35" ca="1">M35+IF(RIGHT($A35,1)="G",-SUMIFS(IncExcl,IncDocDate,"&gt;="&amp;DATE(YEAR(N$4),MONTH(N$4),1),IncDocDate,"&lt;="&amp;N$4,IncAccount,LEFT($A35,5)&amp;"*")+SUMIFS(ExpExcl,ExpDocDate,"&gt;="&amp;DATE(YEAR(N$4),MONTH(N$4),1),ExpDocDate,"&lt;="&amp;N$4,ExpAccount,LEFT($A35,5)&amp;"*"),-SUMIFS(IncExcl,IncDocDate,"&gt;="&amp;DATE(YEAR(N$4),MONTH(N$4),1),IncDocDate,"&lt;="&amp;N$4,IncAccount,$A35)+SUMIFS(ExpExcl,ExpDocDate,"&gt;="&amp;DATE(YEAR(N$4),MONTH(N$4),1),ExpDocDate,"&lt;="&amp;N$4,ExpAccount,$A35))</f>
        <v>0</v>
      </c>
      <c r="O35" s="34" cm="1">
        <f t="array" aca="1" ref="O35" ca="1">N35+IF(RIGHT($A35,1)="G",-SUMIFS(IncExcl,IncDocDate,"&gt;="&amp;DATE(YEAR(O$4),MONTH(O$4),1),IncDocDate,"&lt;="&amp;O$4,IncAccount,LEFT($A35,5)&amp;"*")+SUMIFS(ExpExcl,ExpDocDate,"&gt;="&amp;DATE(YEAR(O$4),MONTH(O$4),1),ExpDocDate,"&lt;="&amp;O$4,ExpAccount,LEFT($A35,5)&amp;"*"),-SUMIFS(IncExcl,IncDocDate,"&gt;="&amp;DATE(YEAR(O$4),MONTH(O$4),1),IncDocDate,"&lt;="&amp;O$4,IncAccount,$A35)+SUMIFS(ExpExcl,ExpDocDate,"&gt;="&amp;DATE(YEAR(O$4),MONTH(O$4),1),ExpDocDate,"&lt;="&amp;O$4,ExpAccount,$A35))</f>
        <v>0</v>
      </c>
      <c r="P35" s="188">
        <f t="shared" ca="1" si="4"/>
        <v>0</v>
      </c>
    </row>
    <row r="36" spans="1:16" ht="15.95" customHeight="1" thickBot="1" x14ac:dyDescent="0.35">
      <c r="C36" s="198">
        <f t="shared" ref="C36:P36" ca="1" si="10">SUM(C14:C35)</f>
        <v>24127659.25</v>
      </c>
      <c r="D36" s="198">
        <f t="shared" ca="1" si="10"/>
        <v>120640296.7</v>
      </c>
      <c r="E36" s="198">
        <f t="shared" ca="1" si="10"/>
        <v>132697903.00000001</v>
      </c>
      <c r="F36" s="198">
        <f t="shared" ca="1" si="10"/>
        <v>132697903.00000001</v>
      </c>
      <c r="G36" s="198">
        <f t="shared" ca="1" si="10"/>
        <v>132697903.00000001</v>
      </c>
      <c r="H36" s="198">
        <f t="shared" ca="1" si="10"/>
        <v>132697903.00000001</v>
      </c>
      <c r="I36" s="198">
        <f t="shared" ca="1" si="10"/>
        <v>132697903.00000001</v>
      </c>
      <c r="J36" s="198">
        <f t="shared" ca="1" si="10"/>
        <v>132697903.00000001</v>
      </c>
      <c r="K36" s="198">
        <f t="shared" ca="1" si="10"/>
        <v>132697903.00000001</v>
      </c>
      <c r="L36" s="198">
        <f t="shared" ca="1" si="10"/>
        <v>132697903.00000001</v>
      </c>
      <c r="M36" s="198">
        <f t="shared" ca="1" si="10"/>
        <v>132697903.00000001</v>
      </c>
      <c r="N36" s="198">
        <f t="shared" ca="1" si="10"/>
        <v>132697903.00000001</v>
      </c>
      <c r="O36" s="198">
        <f t="shared" ca="1" si="10"/>
        <v>132697903.00000001</v>
      </c>
      <c r="P36" s="133">
        <f t="shared" ca="1" si="10"/>
        <v>132697903.00000001</v>
      </c>
    </row>
    <row r="37" spans="1:16" s="3" customFormat="1" ht="15.95" customHeight="1" thickBot="1" x14ac:dyDescent="0.3">
      <c r="A37" s="287"/>
      <c r="B37" s="56" t="s">
        <v>41</v>
      </c>
      <c r="C37" s="211">
        <f t="shared" ref="C37:P37" ca="1" si="11">SUM(C12,C36)</f>
        <v>24127659.25</v>
      </c>
      <c r="D37" s="211">
        <f t="shared" ca="1" si="11"/>
        <v>120640296.7</v>
      </c>
      <c r="E37" s="211">
        <f t="shared" ca="1" si="11"/>
        <v>132697903.00000001</v>
      </c>
      <c r="F37" s="211">
        <f t="shared" ca="1" si="11"/>
        <v>132697903.00000001</v>
      </c>
      <c r="G37" s="211">
        <f t="shared" ca="1" si="11"/>
        <v>132697903.00000001</v>
      </c>
      <c r="H37" s="211">
        <f t="shared" ca="1" si="11"/>
        <v>132697903.00000001</v>
      </c>
      <c r="I37" s="211">
        <f t="shared" ca="1" si="11"/>
        <v>132697903.00000001</v>
      </c>
      <c r="J37" s="211">
        <f t="shared" ca="1" si="11"/>
        <v>132697903.00000001</v>
      </c>
      <c r="K37" s="211">
        <f t="shared" ca="1" si="11"/>
        <v>132697903.00000001</v>
      </c>
      <c r="L37" s="211">
        <f t="shared" ca="1" si="11"/>
        <v>132697903.00000001</v>
      </c>
      <c r="M37" s="211">
        <f t="shared" ca="1" si="11"/>
        <v>132697903.00000001</v>
      </c>
      <c r="N37" s="211">
        <f t="shared" ca="1" si="11"/>
        <v>132697903.00000001</v>
      </c>
      <c r="O37" s="211">
        <f t="shared" ca="1" si="11"/>
        <v>132697903.00000001</v>
      </c>
      <c r="P37" s="211">
        <f t="shared" ca="1" si="11"/>
        <v>132697903.00000001</v>
      </c>
    </row>
    <row r="38" spans="1:16" s="3" customFormat="1" ht="15.95" customHeight="1" thickTop="1" x14ac:dyDescent="0.25">
      <c r="A38" s="287"/>
      <c r="B38" s="56" t="s">
        <v>113</v>
      </c>
      <c r="C38" s="188"/>
      <c r="D38" s="188"/>
      <c r="E38" s="188"/>
      <c r="F38" s="188"/>
      <c r="G38" s="188"/>
      <c r="H38" s="188"/>
      <c r="I38" s="188"/>
      <c r="J38" s="188"/>
      <c r="K38" s="188"/>
      <c r="L38" s="188"/>
      <c r="M38" s="188"/>
      <c r="N38" s="188"/>
      <c r="O38" s="188"/>
    </row>
    <row r="39" spans="1:16" s="3" customFormat="1" ht="15.95" customHeight="1" x14ac:dyDescent="0.25">
      <c r="A39" s="287"/>
      <c r="B39" s="56" t="s">
        <v>114</v>
      </c>
      <c r="C39" s="188"/>
      <c r="D39" s="188"/>
      <c r="E39" s="188"/>
      <c r="F39" s="188"/>
      <c r="G39" s="188"/>
      <c r="H39" s="188"/>
      <c r="I39" s="188"/>
    </row>
    <row r="40" spans="1:16" ht="15.95" customHeight="1" x14ac:dyDescent="0.3">
      <c r="A40" s="284" t="s">
        <v>296</v>
      </c>
      <c r="B40" s="12" t="str">
        <f ca="1">IF(RIGHT($A40,1)="G",IF(ISNA(VLOOKUP(LEFT($A40,LEN($A40)-1),GroupAll,COLUMN(Groups!$B$4),0)),"Group Not Found",VLOOKUP(LEFT($A40,LEN($A40)-1),GroupAll,COLUMN(Groups!$B$4),0)),IF(ISNA(VLOOKUP($A40,AccountAll,COLUMN(TB!$B$4),0)),"Account Not Found",VLOOKUP($A40,AccountAll,COLUMN(TB!$B$4),0)))</f>
        <v>Shareholders' Contributions</v>
      </c>
      <c r="C40" s="34" cm="1">
        <f t="array" aca="1" ref="C40" ca="1">IF(RIGHT($A40,1)="G",-SUMIF(AccountAll,LEFT($A40,5)&amp;"*",AccountOpen),-SUMIF(AccountAll,$A40,AccountOpen))</f>
        <v>0</v>
      </c>
      <c r="D40" s="34" cm="1">
        <f t="array" aca="1" ref="D40" ca="1">C40+IF(RIGHT($A40,1)="G",SUMIFS(IncExcl,IncDocDate,"&gt;="&amp;DATE(YEAR(D$4),MONTH(D$4),1),IncDocDate,"&lt;="&amp;D$4,IncAccount,LEFT($A40,5)&amp;"*")-SUMIFS(ExpExcl,ExpDocDate,"&gt;="&amp;DATE(YEAR(D$4),MONTH(D$4),1),ExpDocDate,"&lt;="&amp;D$4,ExpAccount,LEFT($A40,5)&amp;"*"),SUMIFS(IncExcl,IncDocDate,"&gt;="&amp;DATE(YEAR(D$4),MONTH(D$4),1),IncDocDate,"&lt;="&amp;D$4,IncAccount,$A40)-SUMIFS(ExpExcl,ExpDocDate,"&gt;="&amp;DATE(YEAR(D$4),MONTH(D$4),1),ExpDocDate,"&lt;="&amp;D$4,ExpAccount,$A40))</f>
        <v>0</v>
      </c>
      <c r="E40" s="34" cm="1">
        <f t="array" aca="1" ref="E40" ca="1">D40+IF(RIGHT($A40,1)="G",SUMIFS(IncExcl,IncDocDate,"&gt;="&amp;DATE(YEAR(E$4),MONTH(E$4),1),IncDocDate,"&lt;="&amp;E$4,IncAccount,LEFT($A40,5)&amp;"*")-SUMIFS(ExpExcl,ExpDocDate,"&gt;="&amp;DATE(YEAR(E$4),MONTH(E$4),1),ExpDocDate,"&lt;="&amp;E$4,ExpAccount,LEFT($A40,5)&amp;"*"),SUMIFS(IncExcl,IncDocDate,"&gt;="&amp;DATE(YEAR(E$4),MONTH(E$4),1),IncDocDate,"&lt;="&amp;E$4,IncAccount,$A40)-SUMIFS(ExpExcl,ExpDocDate,"&gt;="&amp;DATE(YEAR(E$4),MONTH(E$4),1),ExpDocDate,"&lt;="&amp;E$4,ExpAccount,$A40))</f>
        <v>0</v>
      </c>
      <c r="F40" s="34" cm="1">
        <f t="array" aca="1" ref="F40" ca="1">E40+IF(RIGHT($A40,1)="G",SUMIFS(IncExcl,IncDocDate,"&gt;="&amp;DATE(YEAR(F$4),MONTH(F$4),1),IncDocDate,"&lt;="&amp;F$4,IncAccount,LEFT($A40,5)&amp;"*")-SUMIFS(ExpExcl,ExpDocDate,"&gt;="&amp;DATE(YEAR(F$4),MONTH(F$4),1),ExpDocDate,"&lt;="&amp;F$4,ExpAccount,LEFT($A40,5)&amp;"*"),SUMIFS(IncExcl,IncDocDate,"&gt;="&amp;DATE(YEAR(F$4),MONTH(F$4),1),IncDocDate,"&lt;="&amp;F$4,IncAccount,$A40)-SUMIFS(ExpExcl,ExpDocDate,"&gt;="&amp;DATE(YEAR(F$4),MONTH(F$4),1),ExpDocDate,"&lt;="&amp;F$4,ExpAccount,$A40))</f>
        <v>0</v>
      </c>
      <c r="G40" s="34" cm="1">
        <f t="array" aca="1" ref="G40" ca="1">F40+IF(RIGHT($A40,1)="G",SUMIFS(IncExcl,IncDocDate,"&gt;="&amp;DATE(YEAR(G$4),MONTH(G$4),1),IncDocDate,"&lt;="&amp;G$4,IncAccount,LEFT($A40,5)&amp;"*")-SUMIFS(ExpExcl,ExpDocDate,"&gt;="&amp;DATE(YEAR(G$4),MONTH(G$4),1),ExpDocDate,"&lt;="&amp;G$4,ExpAccount,LEFT($A40,5)&amp;"*"),SUMIFS(IncExcl,IncDocDate,"&gt;="&amp;DATE(YEAR(G$4),MONTH(G$4),1),IncDocDate,"&lt;="&amp;G$4,IncAccount,$A40)-SUMIFS(ExpExcl,ExpDocDate,"&gt;="&amp;DATE(YEAR(G$4),MONTH(G$4),1),ExpDocDate,"&lt;="&amp;G$4,ExpAccount,$A40))</f>
        <v>0</v>
      </c>
      <c r="H40" s="34" cm="1">
        <f t="array" aca="1" ref="H40" ca="1">G40+IF(RIGHT($A40,1)="G",SUMIFS(IncExcl,IncDocDate,"&gt;="&amp;DATE(YEAR(H$4),MONTH(H$4),1),IncDocDate,"&lt;="&amp;H$4,IncAccount,LEFT($A40,5)&amp;"*")-SUMIFS(ExpExcl,ExpDocDate,"&gt;="&amp;DATE(YEAR(H$4),MONTH(H$4),1),ExpDocDate,"&lt;="&amp;H$4,ExpAccount,LEFT($A40,5)&amp;"*"),SUMIFS(IncExcl,IncDocDate,"&gt;="&amp;DATE(YEAR(H$4),MONTH(H$4),1),IncDocDate,"&lt;="&amp;H$4,IncAccount,$A40)-SUMIFS(ExpExcl,ExpDocDate,"&gt;="&amp;DATE(YEAR(H$4),MONTH(H$4),1),ExpDocDate,"&lt;="&amp;H$4,ExpAccount,$A40))</f>
        <v>0</v>
      </c>
      <c r="I40" s="34" cm="1">
        <f t="array" aca="1" ref="I40" ca="1">H40+IF(RIGHT($A40,1)="G",SUMIFS(IncExcl,IncDocDate,"&gt;="&amp;DATE(YEAR(I$4),MONTH(I$4),1),IncDocDate,"&lt;="&amp;I$4,IncAccount,LEFT($A40,5)&amp;"*")-SUMIFS(ExpExcl,ExpDocDate,"&gt;="&amp;DATE(YEAR(I$4),MONTH(I$4),1),ExpDocDate,"&lt;="&amp;I$4,ExpAccount,LEFT($A40,5)&amp;"*"),SUMIFS(IncExcl,IncDocDate,"&gt;="&amp;DATE(YEAR(I$4),MONTH(I$4),1),IncDocDate,"&lt;="&amp;I$4,IncAccount,$A40)-SUMIFS(ExpExcl,ExpDocDate,"&gt;="&amp;DATE(YEAR(I$4),MONTH(I$4),1),ExpDocDate,"&lt;="&amp;I$4,ExpAccount,$A40))</f>
        <v>0</v>
      </c>
      <c r="J40" s="34" cm="1">
        <f t="array" aca="1" ref="J40" ca="1">I40+IF(RIGHT($A40,1)="G",SUMIFS(IncExcl,IncDocDate,"&gt;="&amp;DATE(YEAR(J$4),MONTH(J$4),1),IncDocDate,"&lt;="&amp;J$4,IncAccount,LEFT($A40,5)&amp;"*")-SUMIFS(ExpExcl,ExpDocDate,"&gt;="&amp;DATE(YEAR(J$4),MONTH(J$4),1),ExpDocDate,"&lt;="&amp;J$4,ExpAccount,LEFT($A40,5)&amp;"*"),SUMIFS(IncExcl,IncDocDate,"&gt;="&amp;DATE(YEAR(J$4),MONTH(J$4),1),IncDocDate,"&lt;="&amp;J$4,IncAccount,$A40)-SUMIFS(ExpExcl,ExpDocDate,"&gt;="&amp;DATE(YEAR(J$4),MONTH(J$4),1),ExpDocDate,"&lt;="&amp;J$4,ExpAccount,$A40))</f>
        <v>0</v>
      </c>
      <c r="K40" s="34" cm="1">
        <f t="array" aca="1" ref="K40" ca="1">J40+IF(RIGHT($A40,1)="G",SUMIFS(IncExcl,IncDocDate,"&gt;="&amp;DATE(YEAR(K$4),MONTH(K$4),1),IncDocDate,"&lt;="&amp;K$4,IncAccount,LEFT($A40,5)&amp;"*")-SUMIFS(ExpExcl,ExpDocDate,"&gt;="&amp;DATE(YEAR(K$4),MONTH(K$4),1),ExpDocDate,"&lt;="&amp;K$4,ExpAccount,LEFT($A40,5)&amp;"*"),SUMIFS(IncExcl,IncDocDate,"&gt;="&amp;DATE(YEAR(K$4),MONTH(K$4),1),IncDocDate,"&lt;="&amp;K$4,IncAccount,$A40)-SUMIFS(ExpExcl,ExpDocDate,"&gt;="&amp;DATE(YEAR(K$4),MONTH(K$4),1),ExpDocDate,"&lt;="&amp;K$4,ExpAccount,$A40))</f>
        <v>0</v>
      </c>
      <c r="L40" s="34" cm="1">
        <f t="array" aca="1" ref="L40" ca="1">K40+IF(RIGHT($A40,1)="G",SUMIFS(IncExcl,IncDocDate,"&gt;="&amp;DATE(YEAR(L$4),MONTH(L$4),1),IncDocDate,"&lt;="&amp;L$4,IncAccount,LEFT($A40,5)&amp;"*")-SUMIFS(ExpExcl,ExpDocDate,"&gt;="&amp;DATE(YEAR(L$4),MONTH(L$4),1),ExpDocDate,"&lt;="&amp;L$4,ExpAccount,LEFT($A40,5)&amp;"*"),SUMIFS(IncExcl,IncDocDate,"&gt;="&amp;DATE(YEAR(L$4),MONTH(L$4),1),IncDocDate,"&lt;="&amp;L$4,IncAccount,$A40)-SUMIFS(ExpExcl,ExpDocDate,"&gt;="&amp;DATE(YEAR(L$4),MONTH(L$4),1),ExpDocDate,"&lt;="&amp;L$4,ExpAccount,$A40))</f>
        <v>0</v>
      </c>
      <c r="M40" s="34" cm="1">
        <f t="array" aca="1" ref="M40" ca="1">L40+IF(RIGHT($A40,1)="G",SUMIFS(IncExcl,IncDocDate,"&gt;="&amp;DATE(YEAR(M$4),MONTH(M$4),1),IncDocDate,"&lt;="&amp;M$4,IncAccount,LEFT($A40,5)&amp;"*")-SUMIFS(ExpExcl,ExpDocDate,"&gt;="&amp;DATE(YEAR(M$4),MONTH(M$4),1),ExpDocDate,"&lt;="&amp;M$4,ExpAccount,LEFT($A40,5)&amp;"*"),SUMIFS(IncExcl,IncDocDate,"&gt;="&amp;DATE(YEAR(M$4),MONTH(M$4),1),IncDocDate,"&lt;="&amp;M$4,IncAccount,$A40)-SUMIFS(ExpExcl,ExpDocDate,"&gt;="&amp;DATE(YEAR(M$4),MONTH(M$4),1),ExpDocDate,"&lt;="&amp;M$4,ExpAccount,$A40))</f>
        <v>0</v>
      </c>
      <c r="N40" s="34" cm="1">
        <f t="array" aca="1" ref="N40" ca="1">M40+IF(RIGHT($A40,1)="G",SUMIFS(IncExcl,IncDocDate,"&gt;="&amp;DATE(YEAR(N$4),MONTH(N$4),1),IncDocDate,"&lt;="&amp;N$4,IncAccount,LEFT($A40,5)&amp;"*")-SUMIFS(ExpExcl,ExpDocDate,"&gt;="&amp;DATE(YEAR(N$4),MONTH(N$4),1),ExpDocDate,"&lt;="&amp;N$4,ExpAccount,LEFT($A40,5)&amp;"*"),SUMIFS(IncExcl,IncDocDate,"&gt;="&amp;DATE(YEAR(N$4),MONTH(N$4),1),IncDocDate,"&lt;="&amp;N$4,IncAccount,$A40)-SUMIFS(ExpExcl,ExpDocDate,"&gt;="&amp;DATE(YEAR(N$4),MONTH(N$4),1),ExpDocDate,"&lt;="&amp;N$4,ExpAccount,$A40))</f>
        <v>0</v>
      </c>
      <c r="O40" s="34" cm="1">
        <f t="array" aca="1" ref="O40" ca="1">N40+IF(RIGHT($A40,1)="G",SUMIFS(IncExcl,IncDocDate,"&gt;="&amp;DATE(YEAR(O$4),MONTH(O$4),1),IncDocDate,"&lt;="&amp;O$4,IncAccount,LEFT($A40,5)&amp;"*")-SUMIFS(ExpExcl,ExpDocDate,"&gt;="&amp;DATE(YEAR(O$4),MONTH(O$4),1),ExpDocDate,"&lt;="&amp;O$4,ExpAccount,LEFT($A40,5)&amp;"*"),SUMIFS(IncExcl,IncDocDate,"&gt;="&amp;DATE(YEAR(O$4),MONTH(O$4),1),IncDocDate,"&lt;="&amp;O$4,IncAccount,$A40)-SUMIFS(ExpExcl,ExpDocDate,"&gt;="&amp;DATE(YEAR(O$4),MONTH(O$4),1),ExpDocDate,"&lt;="&amp;O$4,ExpAccount,$A40))</f>
        <v>0</v>
      </c>
      <c r="P40" s="188">
        <f t="shared" ref="P40:P43" ca="1" si="12">O40</f>
        <v>0</v>
      </c>
    </row>
    <row r="41" spans="1:16" ht="15.95" customHeight="1" x14ac:dyDescent="0.3">
      <c r="A41" s="284" t="s">
        <v>297</v>
      </c>
      <c r="B41" s="12" t="str">
        <f ca="1">IF(RIGHT($A41,1)="G",IF(ISNA(VLOOKUP(LEFT($A41,LEN($A41)-1),GroupAll,COLUMN(Groups!$B$4),0)),"Group Not Found",VLOOKUP(LEFT($A41,LEN($A41)-1),GroupAll,COLUMN(Groups!$B$4),0)),IF(ISNA(VLOOKUP($A41,AccountAll,COLUMN(TB!$B$4),0)),"Account Not Found",VLOOKUP($A41,AccountAll,COLUMN(TB!$B$4),0)))</f>
        <v>Reserves</v>
      </c>
      <c r="C41" s="34" cm="1">
        <f t="array" aca="1" ref="C41" ca="1">IF(RIGHT($A41,1)="G",-SUMIF(AccountAll,LEFT($A41,5)&amp;"*",AccountOpen),-SUMIF(AccountAll,$A41,AccountOpen))</f>
        <v>0</v>
      </c>
      <c r="D41" s="34" cm="1">
        <f t="array" aca="1" ref="D41" ca="1">C41+IF(RIGHT($A41,1)="G",SUMIFS(IncExcl,IncDocDate,"&gt;="&amp;DATE(YEAR(D$4),MONTH(D$4),1),IncDocDate,"&lt;="&amp;D$4,IncAccount,LEFT($A41,5)&amp;"*")-SUMIFS(ExpExcl,ExpDocDate,"&gt;="&amp;DATE(YEAR(D$4),MONTH(D$4),1),ExpDocDate,"&lt;="&amp;D$4,ExpAccount,LEFT($A41,5)&amp;"*"),SUMIFS(IncExcl,IncDocDate,"&gt;="&amp;DATE(YEAR(D$4),MONTH(D$4),1),IncDocDate,"&lt;="&amp;D$4,IncAccount,$A41)-SUMIFS(ExpExcl,ExpDocDate,"&gt;="&amp;DATE(YEAR(D$4),MONTH(D$4),1),ExpDocDate,"&lt;="&amp;D$4,ExpAccount,$A41))</f>
        <v>0</v>
      </c>
      <c r="E41" s="34" cm="1">
        <f t="array" aca="1" ref="E41" ca="1">D41+IF(RIGHT($A41,1)="G",SUMIFS(IncExcl,IncDocDate,"&gt;="&amp;DATE(YEAR(E$4),MONTH(E$4),1),IncDocDate,"&lt;="&amp;E$4,IncAccount,LEFT($A41,5)&amp;"*")-SUMIFS(ExpExcl,ExpDocDate,"&gt;="&amp;DATE(YEAR(E$4),MONTH(E$4),1),ExpDocDate,"&lt;="&amp;E$4,ExpAccount,LEFT($A41,5)&amp;"*"),SUMIFS(IncExcl,IncDocDate,"&gt;="&amp;DATE(YEAR(E$4),MONTH(E$4),1),IncDocDate,"&lt;="&amp;E$4,IncAccount,$A41)-SUMIFS(ExpExcl,ExpDocDate,"&gt;="&amp;DATE(YEAR(E$4),MONTH(E$4),1),ExpDocDate,"&lt;="&amp;E$4,ExpAccount,$A41))</f>
        <v>0</v>
      </c>
      <c r="F41" s="34" cm="1">
        <f t="array" aca="1" ref="F41" ca="1">E41+IF(RIGHT($A41,1)="G",SUMIFS(IncExcl,IncDocDate,"&gt;="&amp;DATE(YEAR(F$4),MONTH(F$4),1),IncDocDate,"&lt;="&amp;F$4,IncAccount,LEFT($A41,5)&amp;"*")-SUMIFS(ExpExcl,ExpDocDate,"&gt;="&amp;DATE(YEAR(F$4),MONTH(F$4),1),ExpDocDate,"&lt;="&amp;F$4,ExpAccount,LEFT($A41,5)&amp;"*"),SUMIFS(IncExcl,IncDocDate,"&gt;="&amp;DATE(YEAR(F$4),MONTH(F$4),1),IncDocDate,"&lt;="&amp;F$4,IncAccount,$A41)-SUMIFS(ExpExcl,ExpDocDate,"&gt;="&amp;DATE(YEAR(F$4),MONTH(F$4),1),ExpDocDate,"&lt;="&amp;F$4,ExpAccount,$A41))</f>
        <v>0</v>
      </c>
      <c r="G41" s="34" cm="1">
        <f t="array" aca="1" ref="G41" ca="1">F41+IF(RIGHT($A41,1)="G",SUMIFS(IncExcl,IncDocDate,"&gt;="&amp;DATE(YEAR(G$4),MONTH(G$4),1),IncDocDate,"&lt;="&amp;G$4,IncAccount,LEFT($A41,5)&amp;"*")-SUMIFS(ExpExcl,ExpDocDate,"&gt;="&amp;DATE(YEAR(G$4),MONTH(G$4),1),ExpDocDate,"&lt;="&amp;G$4,ExpAccount,LEFT($A41,5)&amp;"*"),SUMIFS(IncExcl,IncDocDate,"&gt;="&amp;DATE(YEAR(G$4),MONTH(G$4),1),IncDocDate,"&lt;="&amp;G$4,IncAccount,$A41)-SUMIFS(ExpExcl,ExpDocDate,"&gt;="&amp;DATE(YEAR(G$4),MONTH(G$4),1),ExpDocDate,"&lt;="&amp;G$4,ExpAccount,$A41))</f>
        <v>0</v>
      </c>
      <c r="H41" s="34" cm="1">
        <f t="array" aca="1" ref="H41" ca="1">G41+IF(RIGHT($A41,1)="G",SUMIFS(IncExcl,IncDocDate,"&gt;="&amp;DATE(YEAR(H$4),MONTH(H$4),1),IncDocDate,"&lt;="&amp;H$4,IncAccount,LEFT($A41,5)&amp;"*")-SUMIFS(ExpExcl,ExpDocDate,"&gt;="&amp;DATE(YEAR(H$4),MONTH(H$4),1),ExpDocDate,"&lt;="&amp;H$4,ExpAccount,LEFT($A41,5)&amp;"*"),SUMIFS(IncExcl,IncDocDate,"&gt;="&amp;DATE(YEAR(H$4),MONTH(H$4),1),IncDocDate,"&lt;="&amp;H$4,IncAccount,$A41)-SUMIFS(ExpExcl,ExpDocDate,"&gt;="&amp;DATE(YEAR(H$4),MONTH(H$4),1),ExpDocDate,"&lt;="&amp;H$4,ExpAccount,$A41))</f>
        <v>0</v>
      </c>
      <c r="I41" s="34" cm="1">
        <f t="array" aca="1" ref="I41" ca="1">H41+IF(RIGHT($A41,1)="G",SUMIFS(IncExcl,IncDocDate,"&gt;="&amp;DATE(YEAR(I$4),MONTH(I$4),1),IncDocDate,"&lt;="&amp;I$4,IncAccount,LEFT($A41,5)&amp;"*")-SUMIFS(ExpExcl,ExpDocDate,"&gt;="&amp;DATE(YEAR(I$4),MONTH(I$4),1),ExpDocDate,"&lt;="&amp;I$4,ExpAccount,LEFT($A41,5)&amp;"*"),SUMIFS(IncExcl,IncDocDate,"&gt;="&amp;DATE(YEAR(I$4),MONTH(I$4),1),IncDocDate,"&lt;="&amp;I$4,IncAccount,$A41)-SUMIFS(ExpExcl,ExpDocDate,"&gt;="&amp;DATE(YEAR(I$4),MONTH(I$4),1),ExpDocDate,"&lt;="&amp;I$4,ExpAccount,$A41))</f>
        <v>0</v>
      </c>
      <c r="J41" s="34" cm="1">
        <f t="array" aca="1" ref="J41" ca="1">I41+IF(RIGHT($A41,1)="G",SUMIFS(IncExcl,IncDocDate,"&gt;="&amp;DATE(YEAR(J$4),MONTH(J$4),1),IncDocDate,"&lt;="&amp;J$4,IncAccount,LEFT($A41,5)&amp;"*")-SUMIFS(ExpExcl,ExpDocDate,"&gt;="&amp;DATE(YEAR(J$4),MONTH(J$4),1),ExpDocDate,"&lt;="&amp;J$4,ExpAccount,LEFT($A41,5)&amp;"*"),SUMIFS(IncExcl,IncDocDate,"&gt;="&amp;DATE(YEAR(J$4),MONTH(J$4),1),IncDocDate,"&lt;="&amp;J$4,IncAccount,$A41)-SUMIFS(ExpExcl,ExpDocDate,"&gt;="&amp;DATE(YEAR(J$4),MONTH(J$4),1),ExpDocDate,"&lt;="&amp;J$4,ExpAccount,$A41))</f>
        <v>0</v>
      </c>
      <c r="K41" s="34" cm="1">
        <f t="array" aca="1" ref="K41" ca="1">J41+IF(RIGHT($A41,1)="G",SUMIFS(IncExcl,IncDocDate,"&gt;="&amp;DATE(YEAR(K$4),MONTH(K$4),1),IncDocDate,"&lt;="&amp;K$4,IncAccount,LEFT($A41,5)&amp;"*")-SUMIFS(ExpExcl,ExpDocDate,"&gt;="&amp;DATE(YEAR(K$4),MONTH(K$4),1),ExpDocDate,"&lt;="&amp;K$4,ExpAccount,LEFT($A41,5)&amp;"*"),SUMIFS(IncExcl,IncDocDate,"&gt;="&amp;DATE(YEAR(K$4),MONTH(K$4),1),IncDocDate,"&lt;="&amp;K$4,IncAccount,$A41)-SUMIFS(ExpExcl,ExpDocDate,"&gt;="&amp;DATE(YEAR(K$4),MONTH(K$4),1),ExpDocDate,"&lt;="&amp;K$4,ExpAccount,$A41))</f>
        <v>0</v>
      </c>
      <c r="L41" s="34" cm="1">
        <f t="array" aca="1" ref="L41" ca="1">K41+IF(RIGHT($A41,1)="G",SUMIFS(IncExcl,IncDocDate,"&gt;="&amp;DATE(YEAR(L$4),MONTH(L$4),1),IncDocDate,"&lt;="&amp;L$4,IncAccount,LEFT($A41,5)&amp;"*")-SUMIFS(ExpExcl,ExpDocDate,"&gt;="&amp;DATE(YEAR(L$4),MONTH(L$4),1),ExpDocDate,"&lt;="&amp;L$4,ExpAccount,LEFT($A41,5)&amp;"*"),SUMIFS(IncExcl,IncDocDate,"&gt;="&amp;DATE(YEAR(L$4),MONTH(L$4),1),IncDocDate,"&lt;="&amp;L$4,IncAccount,$A41)-SUMIFS(ExpExcl,ExpDocDate,"&gt;="&amp;DATE(YEAR(L$4),MONTH(L$4),1),ExpDocDate,"&lt;="&amp;L$4,ExpAccount,$A41))</f>
        <v>0</v>
      </c>
      <c r="M41" s="34" cm="1">
        <f t="array" aca="1" ref="M41" ca="1">L41+IF(RIGHT($A41,1)="G",SUMIFS(IncExcl,IncDocDate,"&gt;="&amp;DATE(YEAR(M$4),MONTH(M$4),1),IncDocDate,"&lt;="&amp;M$4,IncAccount,LEFT($A41,5)&amp;"*")-SUMIFS(ExpExcl,ExpDocDate,"&gt;="&amp;DATE(YEAR(M$4),MONTH(M$4),1),ExpDocDate,"&lt;="&amp;M$4,ExpAccount,LEFT($A41,5)&amp;"*"),SUMIFS(IncExcl,IncDocDate,"&gt;="&amp;DATE(YEAR(M$4),MONTH(M$4),1),IncDocDate,"&lt;="&amp;M$4,IncAccount,$A41)-SUMIFS(ExpExcl,ExpDocDate,"&gt;="&amp;DATE(YEAR(M$4),MONTH(M$4),1),ExpDocDate,"&lt;="&amp;M$4,ExpAccount,$A41))</f>
        <v>0</v>
      </c>
      <c r="N41" s="34" cm="1">
        <f t="array" aca="1" ref="N41" ca="1">M41+IF(RIGHT($A41,1)="G",SUMIFS(IncExcl,IncDocDate,"&gt;="&amp;DATE(YEAR(N$4),MONTH(N$4),1),IncDocDate,"&lt;="&amp;N$4,IncAccount,LEFT($A41,5)&amp;"*")-SUMIFS(ExpExcl,ExpDocDate,"&gt;="&amp;DATE(YEAR(N$4),MONTH(N$4),1),ExpDocDate,"&lt;="&amp;N$4,ExpAccount,LEFT($A41,5)&amp;"*"),SUMIFS(IncExcl,IncDocDate,"&gt;="&amp;DATE(YEAR(N$4),MONTH(N$4),1),IncDocDate,"&lt;="&amp;N$4,IncAccount,$A41)-SUMIFS(ExpExcl,ExpDocDate,"&gt;="&amp;DATE(YEAR(N$4),MONTH(N$4),1),ExpDocDate,"&lt;="&amp;N$4,ExpAccount,$A41))</f>
        <v>0</v>
      </c>
      <c r="O41" s="34" cm="1">
        <f t="array" aca="1" ref="O41" ca="1">N41+IF(RIGHT($A41,1)="G",SUMIFS(IncExcl,IncDocDate,"&gt;="&amp;DATE(YEAR(O$4),MONTH(O$4),1),IncDocDate,"&lt;="&amp;O$4,IncAccount,LEFT($A41,5)&amp;"*")-SUMIFS(ExpExcl,ExpDocDate,"&gt;="&amp;DATE(YEAR(O$4),MONTH(O$4),1),ExpDocDate,"&lt;="&amp;O$4,ExpAccount,LEFT($A41,5)&amp;"*"),SUMIFS(IncExcl,IncDocDate,"&gt;="&amp;DATE(YEAR(O$4),MONTH(O$4),1),IncDocDate,"&lt;="&amp;O$4,IncAccount,$A41)-SUMIFS(ExpExcl,ExpDocDate,"&gt;="&amp;DATE(YEAR(O$4),MONTH(O$4),1),ExpDocDate,"&lt;="&amp;O$4,ExpAccount,$A41))</f>
        <v>0</v>
      </c>
      <c r="P41" s="188">
        <f t="shared" ca="1" si="12"/>
        <v>0</v>
      </c>
    </row>
    <row r="42" spans="1:16" ht="15.95" customHeight="1" x14ac:dyDescent="0.3">
      <c r="A42" s="286" t="s">
        <v>167</v>
      </c>
      <c r="B42" s="12" t="str">
        <f ca="1">IF(RIGHT($A42,1)="G",IF(ISNA(VLOOKUP(LEFT($A42,LEN($A42)-1),GroupAll,COLUMN(Groups!$B$4),0)),"Group Not Found",VLOOKUP(LEFT($A42,LEN($A42)-1),GroupAll,COLUMN(Groups!$B$4),0)),IF(ISNA(VLOOKUP($A42,AccountAll,COLUMN(TB!$B$4),0)),"Account Not Found",VLOOKUP($A42,AccountAll,COLUMN(TB!$B$4),0)))</f>
        <v>Retained Earnings - Opening</v>
      </c>
      <c r="C42" s="34" cm="1">
        <f t="array" aca="1" ref="C42" ca="1">IF(RIGHT($A42,1)="G",-SUMIF(AccountAll,LEFT($A42,5)&amp;"*",AccountOpen),-SUMIF(AccountAll,$A42,AccountOpen))</f>
        <v>19756567.199999999</v>
      </c>
      <c r="D42" s="34">
        <f ca="1">IF(MONTH(C$4)=MONTH(Setup!$C$20),SUM(C$42:C$43),C$42)</f>
        <v>19756567.199999999</v>
      </c>
      <c r="E42" s="34">
        <f ca="1">IF(MONTH(D$4)=MONTH(Setup!$C$20),SUM(D$42:D$43),D$42)</f>
        <v>19756567.199999999</v>
      </c>
      <c r="F42" s="34">
        <f ca="1">IF(MONTH(E$4)=MONTH(Setup!$C$20),SUM(E$42:E$43),E$42)</f>
        <v>19756567.199999999</v>
      </c>
      <c r="G42" s="34">
        <f ca="1">IF(MONTH(F$4)=MONTH(Setup!$C$20),SUM(F$42:F$43),F$42)</f>
        <v>19756567.199999999</v>
      </c>
      <c r="H42" s="34">
        <f ca="1">IF(MONTH(G$4)=MONTH(Setup!$C$20),SUM(G$42:G$43),G$42)</f>
        <v>19756567.199999999</v>
      </c>
      <c r="I42" s="34">
        <f ca="1">IF(MONTH(H$4)=MONTH(Setup!$C$20),SUM(H$42:H$43),H$42)</f>
        <v>19756567.199999999</v>
      </c>
      <c r="J42" s="34">
        <f ca="1">IF(MONTH(I$4)=MONTH(Setup!$C$20),SUM(I$42:I$43),I$42)</f>
        <v>19756567.199999999</v>
      </c>
      <c r="K42" s="34">
        <f ca="1">IF(MONTH(J$4)=MONTH(Setup!$C$20),SUM(J$42:J$43),J$42)</f>
        <v>19756567.199999999</v>
      </c>
      <c r="L42" s="34">
        <f ca="1">IF(MONTH(K$4)=MONTH(Setup!$C$20),SUM(K$42:K$43),K$42)</f>
        <v>19756567.199999999</v>
      </c>
      <c r="M42" s="34">
        <f ca="1">IF(MONTH(L$4)=MONTH(Setup!$C$20),SUM(L$42:L$43),L$42)</f>
        <v>19756567.199999999</v>
      </c>
      <c r="N42" s="34">
        <f ca="1">IF(MONTH(M$4)=MONTH(Setup!$C$20),SUM(M$42:M$43),M$42)</f>
        <v>19756567.199999999</v>
      </c>
      <c r="O42" s="34">
        <f ca="1">IF(MONTH(N$4)=MONTH(Setup!$C$20),SUM(N$42:N$43),N$42)</f>
        <v>19756567.199999999</v>
      </c>
      <c r="P42" s="188">
        <f t="shared" ca="1" si="12"/>
        <v>19756567.199999999</v>
      </c>
    </row>
    <row r="43" spans="1:16" ht="15.95" customHeight="1" x14ac:dyDescent="0.3">
      <c r="A43" s="286" t="s">
        <v>181</v>
      </c>
      <c r="B43" s="12" t="str">
        <f ca="1">IF(RIGHT($A43,1)="G",IF(ISNA(VLOOKUP(LEFT($A43,LEN($A43)-1),GroupAll,COLUMN(Groups!$B$4),0)),"Group Not Found",VLOOKUP(LEFT($A43,LEN($A43)-1),GroupAll,COLUMN(Groups!$B$4),0)),IF(ISNA(VLOOKUP($A43,AccountAll,COLUMN(TB!$B$4),0)),"Account Not Found",VLOOKUP($A43,AccountAll,COLUMN(TB!$B$4),0)))</f>
        <v>Retained Earnings - Current</v>
      </c>
      <c r="C43" s="34" cm="1">
        <f t="array" aca="1" ref="C43" ca="1">IF(RIGHT($A43,1)="G",-SUMIF(AccountAll,LEFT($A43,5)&amp;"*",AccountOpen),-SUMIF(AccountAll,$A43,AccountOpen))</f>
        <v>0</v>
      </c>
      <c r="D43" s="34">
        <f ca="1">IF(MONTH(C$4)=MONTH(Setup!$C$20),IS!C47,C43+IS!C47)</f>
        <v>81748790.214714944</v>
      </c>
      <c r="E43" s="34">
        <f ca="1">IF(MONTH(D$4)=MONTH(Setup!$C$20),IS!D47,D43+IS!D47)</f>
        <v>91967100.638443753</v>
      </c>
      <c r="F43" s="34">
        <f ca="1">IF(MONTH(E$4)=MONTH(Setup!$C$20),IS!E47,E43+IS!E47)</f>
        <v>91967100.638443753</v>
      </c>
      <c r="G43" s="34">
        <f ca="1">IF(MONTH(F$4)=MONTH(Setup!$C$20),IS!F47,F43+IS!F47)</f>
        <v>91967100.638443753</v>
      </c>
      <c r="H43" s="34">
        <f ca="1">IF(MONTH(G$4)=MONTH(Setup!$C$20),IS!G47,G43+IS!G47)</f>
        <v>91967100.638443753</v>
      </c>
      <c r="I43" s="34">
        <f ca="1">IF(MONTH(H$4)=MONTH(Setup!$C$20),IS!H47,H43+IS!H47)</f>
        <v>91967100.638443753</v>
      </c>
      <c r="J43" s="34">
        <f ca="1">IF(MONTH(I$4)=MONTH(Setup!$C$20),IS!I47,I43+IS!I47)</f>
        <v>91967100.638443753</v>
      </c>
      <c r="K43" s="34">
        <f ca="1">IF(MONTH(J$4)=MONTH(Setup!$C$20),IS!J47,J43+IS!J47)</f>
        <v>91967100.638443753</v>
      </c>
      <c r="L43" s="34">
        <f ca="1">IF(MONTH(K$4)=MONTH(Setup!$C$20),IS!K47,K43+IS!K47)</f>
        <v>91967100.638443753</v>
      </c>
      <c r="M43" s="34">
        <f ca="1">IF(MONTH(L$4)=MONTH(Setup!$C$20),IS!L47,L43+IS!L47)</f>
        <v>91967100.638443753</v>
      </c>
      <c r="N43" s="34">
        <f ca="1">IF(MONTH(M$4)=MONTH(Setup!$C$20),IS!M47,M43+IS!M47)</f>
        <v>91967100.638443753</v>
      </c>
      <c r="O43" s="34">
        <f ca="1">IF(MONTH(N$4)=MONTH(Setup!$C$20),IS!N47,N43+IS!N47)</f>
        <v>91967100.638443753</v>
      </c>
      <c r="P43" s="188">
        <f t="shared" ca="1" si="12"/>
        <v>91967100.638443753</v>
      </c>
    </row>
    <row r="44" spans="1:16" ht="15.95" customHeight="1" thickBot="1" x14ac:dyDescent="0.35">
      <c r="C44" s="212">
        <f ca="1">SUM(C40:C43)</f>
        <v>19756567.199999999</v>
      </c>
      <c r="D44" s="212">
        <f t="shared" ref="D44:P44" ca="1" si="13">SUM(D40:D43)</f>
        <v>101505357.41471495</v>
      </c>
      <c r="E44" s="212">
        <f t="shared" ca="1" si="13"/>
        <v>111723667.83844376</v>
      </c>
      <c r="F44" s="212">
        <f t="shared" ca="1" si="13"/>
        <v>111723667.83844376</v>
      </c>
      <c r="G44" s="212">
        <f t="shared" ca="1" si="13"/>
        <v>111723667.83844376</v>
      </c>
      <c r="H44" s="212">
        <f t="shared" ca="1" si="13"/>
        <v>111723667.83844376</v>
      </c>
      <c r="I44" s="212">
        <f t="shared" ca="1" si="13"/>
        <v>111723667.83844376</v>
      </c>
      <c r="J44" s="212">
        <f t="shared" ca="1" si="13"/>
        <v>111723667.83844376</v>
      </c>
      <c r="K44" s="212">
        <f t="shared" ca="1" si="13"/>
        <v>111723667.83844376</v>
      </c>
      <c r="L44" s="212">
        <f t="shared" ca="1" si="13"/>
        <v>111723667.83844376</v>
      </c>
      <c r="M44" s="212">
        <f t="shared" ca="1" si="13"/>
        <v>111723667.83844376</v>
      </c>
      <c r="N44" s="212">
        <f t="shared" ca="1" si="13"/>
        <v>111723667.83844376</v>
      </c>
      <c r="O44" s="212">
        <f t="shared" ca="1" si="13"/>
        <v>111723667.83844376</v>
      </c>
      <c r="P44" s="213">
        <f t="shared" ca="1" si="13"/>
        <v>111723667.83844376</v>
      </c>
    </row>
    <row r="45" spans="1:16" s="3" customFormat="1" ht="15.95" customHeight="1" x14ac:dyDescent="0.25">
      <c r="A45" s="287"/>
      <c r="B45" s="56" t="s">
        <v>116</v>
      </c>
      <c r="C45" s="214"/>
      <c r="D45" s="214"/>
      <c r="E45" s="214"/>
      <c r="F45" s="214"/>
      <c r="G45" s="214"/>
      <c r="H45" s="214"/>
      <c r="I45" s="214"/>
      <c r="J45" s="214"/>
      <c r="K45" s="214"/>
      <c r="L45" s="214"/>
      <c r="M45" s="214"/>
      <c r="N45" s="214"/>
      <c r="O45" s="214"/>
      <c r="P45" s="214"/>
    </row>
    <row r="46" spans="1:16" ht="15.95" customHeight="1" x14ac:dyDescent="0.3">
      <c r="A46" s="284" t="s">
        <v>180</v>
      </c>
      <c r="B46" s="12" t="str">
        <f ca="1">IF(RIGHT($A46,1)="G",IF(ISNA(VLOOKUP(LEFT($A46,LEN($A46)-1),GroupAll,COLUMN(Groups!$B$4),0)),"Group Not Found",VLOOKUP(LEFT($A46,LEN($A46)-1),GroupAll,COLUMN(Groups!$B$4),0)),IF(ISNA(VLOOKUP($A46,AccountAll,COLUMN(TB!$B$4),0)),"Account Not Found",VLOOKUP($A46,AccountAll,COLUMN(TB!$B$4),0)))</f>
        <v>Long Term Liabilities</v>
      </c>
      <c r="C46" s="34" cm="1">
        <f t="array" aca="1" ref="C46" ca="1">IF(RIGHT($A46,1)="G",-SUMIF(AccountAll,LEFT($A46,5)&amp;"*",AccountOpen),-SUMIF(AccountAll,$A46,AccountOpen))</f>
        <v>0</v>
      </c>
      <c r="D46" s="34" cm="1">
        <f t="array" aca="1" ref="D46" ca="1">C46+IF(RIGHT($A46,1)="G",SUMIFS(IncExcl,IncDocDate,"&gt;="&amp;DATE(YEAR(D$4),MONTH(D$4),1),IncDocDate,"&lt;="&amp;D$4,IncAccount,LEFT($A46,5)&amp;"*")-SUMIFS(ExpExcl,ExpDocDate,"&gt;="&amp;DATE(YEAR(D$4),MONTH(D$4),1),ExpDocDate,"&lt;="&amp;D$4,ExpAccount,LEFT($A46,5)&amp;"*"),SUMIFS(IncExcl,IncDocDate,"&gt;="&amp;DATE(YEAR(D$4),MONTH(D$4),1),IncDocDate,"&lt;="&amp;D$4,IncAccount,$A46)-SUMIFS(ExpExcl,ExpDocDate,"&gt;="&amp;DATE(YEAR(D$4),MONTH(D$4),1),ExpDocDate,"&lt;="&amp;D$4,ExpAccount,$A46))</f>
        <v>0</v>
      </c>
      <c r="E46" s="34" cm="1">
        <f t="array" aca="1" ref="E46" ca="1">D46+IF(RIGHT($A46,1)="G",SUMIFS(IncExcl,IncDocDate,"&gt;="&amp;DATE(YEAR(E$4),MONTH(E$4),1),IncDocDate,"&lt;="&amp;E$4,IncAccount,LEFT($A46,5)&amp;"*")-SUMIFS(ExpExcl,ExpDocDate,"&gt;="&amp;DATE(YEAR(E$4),MONTH(E$4),1),ExpDocDate,"&lt;="&amp;E$4,ExpAccount,LEFT($A46,5)&amp;"*"),SUMIFS(IncExcl,IncDocDate,"&gt;="&amp;DATE(YEAR(E$4),MONTH(E$4),1),IncDocDate,"&lt;="&amp;E$4,IncAccount,$A46)-SUMIFS(ExpExcl,ExpDocDate,"&gt;="&amp;DATE(YEAR(E$4),MONTH(E$4),1),ExpDocDate,"&lt;="&amp;E$4,ExpAccount,$A46))</f>
        <v>0</v>
      </c>
      <c r="F46" s="34" cm="1">
        <f t="array" aca="1" ref="F46" ca="1">E46+IF(RIGHT($A46,1)="G",SUMIFS(IncExcl,IncDocDate,"&gt;="&amp;DATE(YEAR(F$4),MONTH(F$4),1),IncDocDate,"&lt;="&amp;F$4,IncAccount,LEFT($A46,5)&amp;"*")-SUMIFS(ExpExcl,ExpDocDate,"&gt;="&amp;DATE(YEAR(F$4),MONTH(F$4),1),ExpDocDate,"&lt;="&amp;F$4,ExpAccount,LEFT($A46,5)&amp;"*"),SUMIFS(IncExcl,IncDocDate,"&gt;="&amp;DATE(YEAR(F$4),MONTH(F$4),1),IncDocDate,"&lt;="&amp;F$4,IncAccount,$A46)-SUMIFS(ExpExcl,ExpDocDate,"&gt;="&amp;DATE(YEAR(F$4),MONTH(F$4),1),ExpDocDate,"&lt;="&amp;F$4,ExpAccount,$A46))</f>
        <v>0</v>
      </c>
      <c r="G46" s="34" cm="1">
        <f t="array" aca="1" ref="G46" ca="1">F46+IF(RIGHT($A46,1)="G",SUMIFS(IncExcl,IncDocDate,"&gt;="&amp;DATE(YEAR(G$4),MONTH(G$4),1),IncDocDate,"&lt;="&amp;G$4,IncAccount,LEFT($A46,5)&amp;"*")-SUMIFS(ExpExcl,ExpDocDate,"&gt;="&amp;DATE(YEAR(G$4),MONTH(G$4),1),ExpDocDate,"&lt;="&amp;G$4,ExpAccount,LEFT($A46,5)&amp;"*"),SUMIFS(IncExcl,IncDocDate,"&gt;="&amp;DATE(YEAR(G$4),MONTH(G$4),1),IncDocDate,"&lt;="&amp;G$4,IncAccount,$A46)-SUMIFS(ExpExcl,ExpDocDate,"&gt;="&amp;DATE(YEAR(G$4),MONTH(G$4),1),ExpDocDate,"&lt;="&amp;G$4,ExpAccount,$A46))</f>
        <v>0</v>
      </c>
      <c r="H46" s="34" cm="1">
        <f t="array" aca="1" ref="H46" ca="1">G46+IF(RIGHT($A46,1)="G",SUMIFS(IncExcl,IncDocDate,"&gt;="&amp;DATE(YEAR(H$4),MONTH(H$4),1),IncDocDate,"&lt;="&amp;H$4,IncAccount,LEFT($A46,5)&amp;"*")-SUMIFS(ExpExcl,ExpDocDate,"&gt;="&amp;DATE(YEAR(H$4),MONTH(H$4),1),ExpDocDate,"&lt;="&amp;H$4,ExpAccount,LEFT($A46,5)&amp;"*"),SUMIFS(IncExcl,IncDocDate,"&gt;="&amp;DATE(YEAR(H$4),MONTH(H$4),1),IncDocDate,"&lt;="&amp;H$4,IncAccount,$A46)-SUMIFS(ExpExcl,ExpDocDate,"&gt;="&amp;DATE(YEAR(H$4),MONTH(H$4),1),ExpDocDate,"&lt;="&amp;H$4,ExpAccount,$A46))</f>
        <v>0</v>
      </c>
      <c r="I46" s="34" cm="1">
        <f t="array" aca="1" ref="I46" ca="1">H46+IF(RIGHT($A46,1)="G",SUMIFS(IncExcl,IncDocDate,"&gt;="&amp;DATE(YEAR(I$4),MONTH(I$4),1),IncDocDate,"&lt;="&amp;I$4,IncAccount,LEFT($A46,5)&amp;"*")-SUMIFS(ExpExcl,ExpDocDate,"&gt;="&amp;DATE(YEAR(I$4),MONTH(I$4),1),ExpDocDate,"&lt;="&amp;I$4,ExpAccount,LEFT($A46,5)&amp;"*"),SUMIFS(IncExcl,IncDocDate,"&gt;="&amp;DATE(YEAR(I$4),MONTH(I$4),1),IncDocDate,"&lt;="&amp;I$4,IncAccount,$A46)-SUMIFS(ExpExcl,ExpDocDate,"&gt;="&amp;DATE(YEAR(I$4),MONTH(I$4),1),ExpDocDate,"&lt;="&amp;I$4,ExpAccount,$A46))</f>
        <v>0</v>
      </c>
      <c r="J46" s="34" cm="1">
        <f t="array" aca="1" ref="J46" ca="1">I46+IF(RIGHT($A46,1)="G",SUMIFS(IncExcl,IncDocDate,"&gt;="&amp;DATE(YEAR(J$4),MONTH(J$4),1),IncDocDate,"&lt;="&amp;J$4,IncAccount,LEFT($A46,5)&amp;"*")-SUMIFS(ExpExcl,ExpDocDate,"&gt;="&amp;DATE(YEAR(J$4),MONTH(J$4),1),ExpDocDate,"&lt;="&amp;J$4,ExpAccount,LEFT($A46,5)&amp;"*"),SUMIFS(IncExcl,IncDocDate,"&gt;="&amp;DATE(YEAR(J$4),MONTH(J$4),1),IncDocDate,"&lt;="&amp;J$4,IncAccount,$A46)-SUMIFS(ExpExcl,ExpDocDate,"&gt;="&amp;DATE(YEAR(J$4),MONTH(J$4),1),ExpDocDate,"&lt;="&amp;J$4,ExpAccount,$A46))</f>
        <v>0</v>
      </c>
      <c r="K46" s="34" cm="1">
        <f t="array" aca="1" ref="K46" ca="1">J46+IF(RIGHT($A46,1)="G",SUMIFS(IncExcl,IncDocDate,"&gt;="&amp;DATE(YEAR(K$4),MONTH(K$4),1),IncDocDate,"&lt;="&amp;K$4,IncAccount,LEFT($A46,5)&amp;"*")-SUMIFS(ExpExcl,ExpDocDate,"&gt;="&amp;DATE(YEAR(K$4),MONTH(K$4),1),ExpDocDate,"&lt;="&amp;K$4,ExpAccount,LEFT($A46,5)&amp;"*"),SUMIFS(IncExcl,IncDocDate,"&gt;="&amp;DATE(YEAR(K$4),MONTH(K$4),1),IncDocDate,"&lt;="&amp;K$4,IncAccount,$A46)-SUMIFS(ExpExcl,ExpDocDate,"&gt;="&amp;DATE(YEAR(K$4),MONTH(K$4),1),ExpDocDate,"&lt;="&amp;K$4,ExpAccount,$A46))</f>
        <v>0</v>
      </c>
      <c r="L46" s="34" cm="1">
        <f t="array" aca="1" ref="L46" ca="1">K46+IF(RIGHT($A46,1)="G",SUMIFS(IncExcl,IncDocDate,"&gt;="&amp;DATE(YEAR(L$4),MONTH(L$4),1),IncDocDate,"&lt;="&amp;L$4,IncAccount,LEFT($A46,5)&amp;"*")-SUMIFS(ExpExcl,ExpDocDate,"&gt;="&amp;DATE(YEAR(L$4),MONTH(L$4),1),ExpDocDate,"&lt;="&amp;L$4,ExpAccount,LEFT($A46,5)&amp;"*"),SUMIFS(IncExcl,IncDocDate,"&gt;="&amp;DATE(YEAR(L$4),MONTH(L$4),1),IncDocDate,"&lt;="&amp;L$4,IncAccount,$A46)-SUMIFS(ExpExcl,ExpDocDate,"&gt;="&amp;DATE(YEAR(L$4),MONTH(L$4),1),ExpDocDate,"&lt;="&amp;L$4,ExpAccount,$A46))</f>
        <v>0</v>
      </c>
      <c r="M46" s="34" cm="1">
        <f t="array" aca="1" ref="M46" ca="1">L46+IF(RIGHT($A46,1)="G",SUMIFS(IncExcl,IncDocDate,"&gt;="&amp;DATE(YEAR(M$4),MONTH(M$4),1),IncDocDate,"&lt;="&amp;M$4,IncAccount,LEFT($A46,5)&amp;"*")-SUMIFS(ExpExcl,ExpDocDate,"&gt;="&amp;DATE(YEAR(M$4),MONTH(M$4),1),ExpDocDate,"&lt;="&amp;M$4,ExpAccount,LEFT($A46,5)&amp;"*"),SUMIFS(IncExcl,IncDocDate,"&gt;="&amp;DATE(YEAR(M$4),MONTH(M$4),1),IncDocDate,"&lt;="&amp;M$4,IncAccount,$A46)-SUMIFS(ExpExcl,ExpDocDate,"&gt;="&amp;DATE(YEAR(M$4),MONTH(M$4),1),ExpDocDate,"&lt;="&amp;M$4,ExpAccount,$A46))</f>
        <v>0</v>
      </c>
      <c r="N46" s="34" cm="1">
        <f t="array" aca="1" ref="N46" ca="1">M46+IF(RIGHT($A46,1)="G",SUMIFS(IncExcl,IncDocDate,"&gt;="&amp;DATE(YEAR(N$4),MONTH(N$4),1),IncDocDate,"&lt;="&amp;N$4,IncAccount,LEFT($A46,5)&amp;"*")-SUMIFS(ExpExcl,ExpDocDate,"&gt;="&amp;DATE(YEAR(N$4),MONTH(N$4),1),ExpDocDate,"&lt;="&amp;N$4,ExpAccount,LEFT($A46,5)&amp;"*"),SUMIFS(IncExcl,IncDocDate,"&gt;="&amp;DATE(YEAR(N$4),MONTH(N$4),1),IncDocDate,"&lt;="&amp;N$4,IncAccount,$A46)-SUMIFS(ExpExcl,ExpDocDate,"&gt;="&amp;DATE(YEAR(N$4),MONTH(N$4),1),ExpDocDate,"&lt;="&amp;N$4,ExpAccount,$A46))</f>
        <v>0</v>
      </c>
      <c r="O46" s="34" cm="1">
        <f t="array" aca="1" ref="O46" ca="1">N46+IF(RIGHT($A46,1)="G",SUMIFS(IncExcl,IncDocDate,"&gt;="&amp;DATE(YEAR(O$4),MONTH(O$4),1),IncDocDate,"&lt;="&amp;O$4,IncAccount,LEFT($A46,5)&amp;"*")-SUMIFS(ExpExcl,ExpDocDate,"&gt;="&amp;DATE(YEAR(O$4),MONTH(O$4),1),ExpDocDate,"&lt;="&amp;O$4,ExpAccount,LEFT($A46,5)&amp;"*"),SUMIFS(IncExcl,IncDocDate,"&gt;="&amp;DATE(YEAR(O$4),MONTH(O$4),1),IncDocDate,"&lt;="&amp;O$4,IncAccount,$A46)-SUMIFS(ExpExcl,ExpDocDate,"&gt;="&amp;DATE(YEAR(O$4),MONTH(O$4),1),ExpDocDate,"&lt;="&amp;O$4,ExpAccount,$A46))</f>
        <v>0</v>
      </c>
      <c r="P46" s="188">
        <f ca="1">O46</f>
        <v>0</v>
      </c>
    </row>
    <row r="47" spans="1:16" ht="15.95" customHeight="1" thickBot="1" x14ac:dyDescent="0.35">
      <c r="C47" s="198">
        <f ca="1">SUM(C46:C46)</f>
        <v>0</v>
      </c>
      <c r="D47" s="198">
        <f t="shared" ref="D47:P47" ca="1" si="14">SUM(D46:D46)</f>
        <v>0</v>
      </c>
      <c r="E47" s="198">
        <f t="shared" ca="1" si="14"/>
        <v>0</v>
      </c>
      <c r="F47" s="198">
        <f t="shared" ca="1" si="14"/>
        <v>0</v>
      </c>
      <c r="G47" s="198">
        <f t="shared" ca="1" si="14"/>
        <v>0</v>
      </c>
      <c r="H47" s="198">
        <f t="shared" ca="1" si="14"/>
        <v>0</v>
      </c>
      <c r="I47" s="198">
        <f t="shared" ca="1" si="14"/>
        <v>0</v>
      </c>
      <c r="J47" s="198">
        <f t="shared" ca="1" si="14"/>
        <v>0</v>
      </c>
      <c r="K47" s="198">
        <f t="shared" ca="1" si="14"/>
        <v>0</v>
      </c>
      <c r="L47" s="198">
        <f t="shared" ca="1" si="14"/>
        <v>0</v>
      </c>
      <c r="M47" s="198">
        <f t="shared" ca="1" si="14"/>
        <v>0</v>
      </c>
      <c r="N47" s="198">
        <f t="shared" ca="1" si="14"/>
        <v>0</v>
      </c>
      <c r="O47" s="198">
        <f t="shared" ca="1" si="14"/>
        <v>0</v>
      </c>
      <c r="P47" s="133">
        <f t="shared" ca="1" si="14"/>
        <v>0</v>
      </c>
    </row>
    <row r="48" spans="1:16" s="3" customFormat="1" ht="15.95" customHeight="1" x14ac:dyDescent="0.25">
      <c r="A48" s="287"/>
      <c r="B48" s="56" t="s">
        <v>118</v>
      </c>
      <c r="C48" s="188"/>
      <c r="D48" s="188"/>
      <c r="E48" s="188"/>
      <c r="F48" s="188"/>
      <c r="G48" s="188"/>
      <c r="H48" s="188"/>
      <c r="I48" s="188"/>
      <c r="J48" s="188"/>
      <c r="K48" s="188"/>
      <c r="L48" s="188"/>
      <c r="M48" s="188"/>
      <c r="N48" s="188"/>
      <c r="O48" s="188"/>
      <c r="P48" s="188"/>
    </row>
    <row r="49" spans="1:16" ht="15.95" customHeight="1" x14ac:dyDescent="0.3">
      <c r="A49" s="286" t="s">
        <v>166</v>
      </c>
      <c r="B49" s="12" t="str">
        <f ca="1">IF(RIGHT($A49,1)="G",IF(ISNA(VLOOKUP(LEFT($A49,LEN($A49)-1),GroupAll,COLUMN(Groups!$B$4),0)),"Group Not Found",VLOOKUP(LEFT($A49,LEN($A49)-1),GroupAll,COLUMN(Groups!$B$4),0)),IF(ISNA(VLOOKUP($A49,AccountAll,COLUMN(TB!$B$4),0)),"Account Not Found",VLOOKUP($A49,AccountAll,COLUMN(TB!$B$4),0)))</f>
        <v>Trade Creditors</v>
      </c>
      <c r="C49" s="34" cm="1">
        <f t="array" aca="1" ref="C49" ca="1">IF(RIGHT($A49,1)="G",-SUMIF(AccountAll,LEFT($A49,5)&amp;"*",AccountOpen),-SUMIF(AccountAll,$A49,AccountOpen))</f>
        <v>0</v>
      </c>
      <c r="D49" s="34">
        <f t="shared" ref="D49:O49" ca="1" si="15">SUMIFS(ExpIncl,ExpDocDate,"&lt;="&amp;D$4,ExpPayDate,"&gt;"&amp;D$4)+SUMIFS(ExpIncl,ExpDocDate,"&lt;="&amp;D$4,ExpPayDate,"")</f>
        <v>0</v>
      </c>
      <c r="E49" s="34">
        <f t="shared" ca="1" si="15"/>
        <v>0</v>
      </c>
      <c r="F49" s="34">
        <f t="shared" ca="1" si="15"/>
        <v>0</v>
      </c>
      <c r="G49" s="34">
        <f t="shared" ca="1" si="15"/>
        <v>0</v>
      </c>
      <c r="H49" s="34">
        <f t="shared" ca="1" si="15"/>
        <v>0</v>
      </c>
      <c r="I49" s="34">
        <f t="shared" ca="1" si="15"/>
        <v>0</v>
      </c>
      <c r="J49" s="34">
        <f t="shared" ca="1" si="15"/>
        <v>0</v>
      </c>
      <c r="K49" s="34">
        <f t="shared" ca="1" si="15"/>
        <v>0</v>
      </c>
      <c r="L49" s="34">
        <f t="shared" ca="1" si="15"/>
        <v>0</v>
      </c>
      <c r="M49" s="34">
        <f t="shared" ca="1" si="15"/>
        <v>0</v>
      </c>
      <c r="N49" s="34">
        <f t="shared" ca="1" si="15"/>
        <v>0</v>
      </c>
      <c r="O49" s="34">
        <f t="shared" ca="1" si="15"/>
        <v>0</v>
      </c>
      <c r="P49" s="188">
        <f t="shared" ref="P49:P55" ca="1" si="16">O49</f>
        <v>0</v>
      </c>
    </row>
    <row r="50" spans="1:16" ht="15.95" customHeight="1" x14ac:dyDescent="0.3">
      <c r="A50" s="284" t="s">
        <v>174</v>
      </c>
      <c r="B50" s="12" t="str">
        <f ca="1">IF(RIGHT($A50,1)="G",IF(ISNA(VLOOKUP(LEFT($A50,LEN($A50)-1),GroupAll,COLUMN(Groups!$B$4),0)),"Group Not Found",VLOOKUP(LEFT($A50,LEN($A50)-1),GroupAll,COLUMN(Groups!$B$4),0)),IF(ISNA(VLOOKUP($A50,AccountAll,COLUMN(TB!$B$4),0)),"Account Not Found",VLOOKUP($A50,AccountAll,COLUMN(TB!$B$4),0)))</f>
        <v>Accruals</v>
      </c>
      <c r="C50" s="34" cm="1">
        <f t="array" aca="1" ref="C50" ca="1">IF(RIGHT($A50,1)="G",-SUMIF(AccountAll,LEFT($A50,5)&amp;"*",AccountOpen),-SUMIF(AccountAll,$A50,AccountOpen))</f>
        <v>0</v>
      </c>
      <c r="D50" s="34" cm="1">
        <f t="array" aca="1" ref="D50" ca="1">C50+IF(RIGHT($A50,1)="G",SUMIFS(IncExcl,IncDocDate,"&gt;="&amp;DATE(YEAR(D$4),MONTH(D$4),1),IncDocDate,"&lt;="&amp;D$4,IncAccount,LEFT($A50,5)&amp;"*")-SUMIFS(ExpExcl,ExpDocDate,"&gt;="&amp;DATE(YEAR(D$4),MONTH(D$4),1),ExpDocDate,"&lt;="&amp;D$4,ExpAccount,LEFT($A50,5)&amp;"*"),SUMIFS(IncExcl,IncDocDate,"&gt;="&amp;DATE(YEAR(D$4),MONTH(D$4),1),IncDocDate,"&lt;="&amp;D$4,IncAccount,$A50)-SUMIFS(ExpExcl,ExpDocDate,"&gt;="&amp;DATE(YEAR(D$4),MONTH(D$4),1),ExpDocDate,"&lt;="&amp;D$4,ExpAccount,$A50))</f>
        <v>0</v>
      </c>
      <c r="E50" s="34" cm="1">
        <f t="array" aca="1" ref="E50" ca="1">D50+IF(RIGHT($A50,1)="G",SUMIFS(IncExcl,IncDocDate,"&gt;="&amp;DATE(YEAR(E$4),MONTH(E$4),1),IncDocDate,"&lt;="&amp;E$4,IncAccount,LEFT($A50,5)&amp;"*")-SUMIFS(ExpExcl,ExpDocDate,"&gt;="&amp;DATE(YEAR(E$4),MONTH(E$4),1),ExpDocDate,"&lt;="&amp;E$4,ExpAccount,LEFT($A50,5)&amp;"*"),SUMIFS(IncExcl,IncDocDate,"&gt;="&amp;DATE(YEAR(E$4),MONTH(E$4),1),IncDocDate,"&lt;="&amp;E$4,IncAccount,$A50)-SUMIFS(ExpExcl,ExpDocDate,"&gt;="&amp;DATE(YEAR(E$4),MONTH(E$4),1),ExpDocDate,"&lt;="&amp;E$4,ExpAccount,$A50))</f>
        <v>0</v>
      </c>
      <c r="F50" s="34" cm="1">
        <f t="array" aca="1" ref="F50" ca="1">E50+IF(RIGHT($A50,1)="G",SUMIFS(IncExcl,IncDocDate,"&gt;="&amp;DATE(YEAR(F$4),MONTH(F$4),1),IncDocDate,"&lt;="&amp;F$4,IncAccount,LEFT($A50,5)&amp;"*")-SUMIFS(ExpExcl,ExpDocDate,"&gt;="&amp;DATE(YEAR(F$4),MONTH(F$4),1),ExpDocDate,"&lt;="&amp;F$4,ExpAccount,LEFT($A50,5)&amp;"*"),SUMIFS(IncExcl,IncDocDate,"&gt;="&amp;DATE(YEAR(F$4),MONTH(F$4),1),IncDocDate,"&lt;="&amp;F$4,IncAccount,$A50)-SUMIFS(ExpExcl,ExpDocDate,"&gt;="&amp;DATE(YEAR(F$4),MONTH(F$4),1),ExpDocDate,"&lt;="&amp;F$4,ExpAccount,$A50))</f>
        <v>0</v>
      </c>
      <c r="G50" s="34" cm="1">
        <f t="array" aca="1" ref="G50" ca="1">F50+IF(RIGHT($A50,1)="G",SUMIFS(IncExcl,IncDocDate,"&gt;="&amp;DATE(YEAR(G$4),MONTH(G$4),1),IncDocDate,"&lt;="&amp;G$4,IncAccount,LEFT($A50,5)&amp;"*")-SUMIFS(ExpExcl,ExpDocDate,"&gt;="&amp;DATE(YEAR(G$4),MONTH(G$4),1),ExpDocDate,"&lt;="&amp;G$4,ExpAccount,LEFT($A50,5)&amp;"*"),SUMIFS(IncExcl,IncDocDate,"&gt;="&amp;DATE(YEAR(G$4),MONTH(G$4),1),IncDocDate,"&lt;="&amp;G$4,IncAccount,$A50)-SUMIFS(ExpExcl,ExpDocDate,"&gt;="&amp;DATE(YEAR(G$4),MONTH(G$4),1),ExpDocDate,"&lt;="&amp;G$4,ExpAccount,$A50))</f>
        <v>0</v>
      </c>
      <c r="H50" s="34" cm="1">
        <f t="array" aca="1" ref="H50" ca="1">G50+IF(RIGHT($A50,1)="G",SUMIFS(IncExcl,IncDocDate,"&gt;="&amp;DATE(YEAR(H$4),MONTH(H$4),1),IncDocDate,"&lt;="&amp;H$4,IncAccount,LEFT($A50,5)&amp;"*")-SUMIFS(ExpExcl,ExpDocDate,"&gt;="&amp;DATE(YEAR(H$4),MONTH(H$4),1),ExpDocDate,"&lt;="&amp;H$4,ExpAccount,LEFT($A50,5)&amp;"*"),SUMIFS(IncExcl,IncDocDate,"&gt;="&amp;DATE(YEAR(H$4),MONTH(H$4),1),IncDocDate,"&lt;="&amp;H$4,IncAccount,$A50)-SUMIFS(ExpExcl,ExpDocDate,"&gt;="&amp;DATE(YEAR(H$4),MONTH(H$4),1),ExpDocDate,"&lt;="&amp;H$4,ExpAccount,$A50))</f>
        <v>0</v>
      </c>
      <c r="I50" s="34" cm="1">
        <f t="array" aca="1" ref="I50" ca="1">H50+IF(RIGHT($A50,1)="G",SUMIFS(IncExcl,IncDocDate,"&gt;="&amp;DATE(YEAR(I$4),MONTH(I$4),1),IncDocDate,"&lt;="&amp;I$4,IncAccount,LEFT($A50,5)&amp;"*")-SUMIFS(ExpExcl,ExpDocDate,"&gt;="&amp;DATE(YEAR(I$4),MONTH(I$4),1),ExpDocDate,"&lt;="&amp;I$4,ExpAccount,LEFT($A50,5)&amp;"*"),SUMIFS(IncExcl,IncDocDate,"&gt;="&amp;DATE(YEAR(I$4),MONTH(I$4),1),IncDocDate,"&lt;="&amp;I$4,IncAccount,$A50)-SUMIFS(ExpExcl,ExpDocDate,"&gt;="&amp;DATE(YEAR(I$4),MONTH(I$4),1),ExpDocDate,"&lt;="&amp;I$4,ExpAccount,$A50))</f>
        <v>0</v>
      </c>
      <c r="J50" s="34" cm="1">
        <f t="array" aca="1" ref="J50" ca="1">I50+IF(RIGHT($A50,1)="G",SUMIFS(IncExcl,IncDocDate,"&gt;="&amp;DATE(YEAR(J$4),MONTH(J$4),1),IncDocDate,"&lt;="&amp;J$4,IncAccount,LEFT($A50,5)&amp;"*")-SUMIFS(ExpExcl,ExpDocDate,"&gt;="&amp;DATE(YEAR(J$4),MONTH(J$4),1),ExpDocDate,"&lt;="&amp;J$4,ExpAccount,LEFT($A50,5)&amp;"*"),SUMIFS(IncExcl,IncDocDate,"&gt;="&amp;DATE(YEAR(J$4),MONTH(J$4),1),IncDocDate,"&lt;="&amp;J$4,IncAccount,$A50)-SUMIFS(ExpExcl,ExpDocDate,"&gt;="&amp;DATE(YEAR(J$4),MONTH(J$4),1),ExpDocDate,"&lt;="&amp;J$4,ExpAccount,$A50))</f>
        <v>0</v>
      </c>
      <c r="K50" s="34" cm="1">
        <f t="array" aca="1" ref="K50" ca="1">J50+IF(RIGHT($A50,1)="G",SUMIFS(IncExcl,IncDocDate,"&gt;="&amp;DATE(YEAR(K$4),MONTH(K$4),1),IncDocDate,"&lt;="&amp;K$4,IncAccount,LEFT($A50,5)&amp;"*")-SUMIFS(ExpExcl,ExpDocDate,"&gt;="&amp;DATE(YEAR(K$4),MONTH(K$4),1),ExpDocDate,"&lt;="&amp;K$4,ExpAccount,LEFT($A50,5)&amp;"*"),SUMIFS(IncExcl,IncDocDate,"&gt;="&amp;DATE(YEAR(K$4),MONTH(K$4),1),IncDocDate,"&lt;="&amp;K$4,IncAccount,$A50)-SUMIFS(ExpExcl,ExpDocDate,"&gt;="&amp;DATE(YEAR(K$4),MONTH(K$4),1),ExpDocDate,"&lt;="&amp;K$4,ExpAccount,$A50))</f>
        <v>0</v>
      </c>
      <c r="L50" s="34" cm="1">
        <f t="array" aca="1" ref="L50" ca="1">K50+IF(RIGHT($A50,1)="G",SUMIFS(IncExcl,IncDocDate,"&gt;="&amp;DATE(YEAR(L$4),MONTH(L$4),1),IncDocDate,"&lt;="&amp;L$4,IncAccount,LEFT($A50,5)&amp;"*")-SUMIFS(ExpExcl,ExpDocDate,"&gt;="&amp;DATE(YEAR(L$4),MONTH(L$4),1),ExpDocDate,"&lt;="&amp;L$4,ExpAccount,LEFT($A50,5)&amp;"*"),SUMIFS(IncExcl,IncDocDate,"&gt;="&amp;DATE(YEAR(L$4),MONTH(L$4),1),IncDocDate,"&lt;="&amp;L$4,IncAccount,$A50)-SUMIFS(ExpExcl,ExpDocDate,"&gt;="&amp;DATE(YEAR(L$4),MONTH(L$4),1),ExpDocDate,"&lt;="&amp;L$4,ExpAccount,$A50))</f>
        <v>0</v>
      </c>
      <c r="M50" s="34" cm="1">
        <f t="array" aca="1" ref="M50" ca="1">L50+IF(RIGHT($A50,1)="G",SUMIFS(IncExcl,IncDocDate,"&gt;="&amp;DATE(YEAR(M$4),MONTH(M$4),1),IncDocDate,"&lt;="&amp;M$4,IncAccount,LEFT($A50,5)&amp;"*")-SUMIFS(ExpExcl,ExpDocDate,"&gt;="&amp;DATE(YEAR(M$4),MONTH(M$4),1),ExpDocDate,"&lt;="&amp;M$4,ExpAccount,LEFT($A50,5)&amp;"*"),SUMIFS(IncExcl,IncDocDate,"&gt;="&amp;DATE(YEAR(M$4),MONTH(M$4),1),IncDocDate,"&lt;="&amp;M$4,IncAccount,$A50)-SUMIFS(ExpExcl,ExpDocDate,"&gt;="&amp;DATE(YEAR(M$4),MONTH(M$4),1),ExpDocDate,"&lt;="&amp;M$4,ExpAccount,$A50))</f>
        <v>0</v>
      </c>
      <c r="N50" s="34" cm="1">
        <f t="array" aca="1" ref="N50" ca="1">M50+IF(RIGHT($A50,1)="G",SUMIFS(IncExcl,IncDocDate,"&gt;="&amp;DATE(YEAR(N$4),MONTH(N$4),1),IncDocDate,"&lt;="&amp;N$4,IncAccount,LEFT($A50,5)&amp;"*")-SUMIFS(ExpExcl,ExpDocDate,"&gt;="&amp;DATE(YEAR(N$4),MONTH(N$4),1),ExpDocDate,"&lt;="&amp;N$4,ExpAccount,LEFT($A50,5)&amp;"*"),SUMIFS(IncExcl,IncDocDate,"&gt;="&amp;DATE(YEAR(N$4),MONTH(N$4),1),IncDocDate,"&lt;="&amp;N$4,IncAccount,$A50)-SUMIFS(ExpExcl,ExpDocDate,"&gt;="&amp;DATE(YEAR(N$4),MONTH(N$4),1),ExpDocDate,"&lt;="&amp;N$4,ExpAccount,$A50))</f>
        <v>0</v>
      </c>
      <c r="O50" s="34" cm="1">
        <f t="array" aca="1" ref="O50" ca="1">N50+IF(RIGHT($A50,1)="G",SUMIFS(IncExcl,IncDocDate,"&gt;="&amp;DATE(YEAR(O$4),MONTH(O$4),1),IncDocDate,"&lt;="&amp;O$4,IncAccount,LEFT($A50,5)&amp;"*")-SUMIFS(ExpExcl,ExpDocDate,"&gt;="&amp;DATE(YEAR(O$4),MONTH(O$4),1),ExpDocDate,"&lt;="&amp;O$4,ExpAccount,LEFT($A50,5)&amp;"*"),SUMIFS(IncExcl,IncDocDate,"&gt;="&amp;DATE(YEAR(O$4),MONTH(O$4),1),IncDocDate,"&lt;="&amp;O$4,IncAccount,$A50)-SUMIFS(ExpExcl,ExpDocDate,"&gt;="&amp;DATE(YEAR(O$4),MONTH(O$4),1),ExpDocDate,"&lt;="&amp;O$4,ExpAccount,$A50))</f>
        <v>0</v>
      </c>
      <c r="P50" s="188">
        <f t="shared" ca="1" si="16"/>
        <v>0</v>
      </c>
    </row>
    <row r="51" spans="1:16" ht="15.95" customHeight="1" x14ac:dyDescent="0.3">
      <c r="A51" s="286" t="s">
        <v>178</v>
      </c>
      <c r="B51" s="12" t="str">
        <f ca="1">IF(RIGHT($A51,1)="G",IF(ISNA(VLOOKUP(LEFT($A51,LEN($A51)-1),GroupAll,COLUMN(Groups!$B$4),0)),"Group Not Found",VLOOKUP(LEFT($A51,LEN($A51)-1),GroupAll,COLUMN(Groups!$B$4),0)),IF(ISNA(VLOOKUP($A51,AccountAll,COLUMN(TB!$B$4),0)),"Account Not Found",VLOOKUP($A51,AccountAll,COLUMN(TB!$B$4),0)))</f>
        <v>Sales Tax 1 - Value Added Tax</v>
      </c>
      <c r="C51" s="34" cm="1">
        <f t="array" aca="1" ref="C51" ca="1">IF(RIGHT($A51,1)="G",-SUMIF(AccountAll,LEFT($A51,5)&amp;"*",AccountOpen),-SUMIF(AccountAll,$A51,AccountOpen))</f>
        <v>0</v>
      </c>
      <c r="D51" s="34" cm="1">
        <f t="array" aca="1" ref="D51" ca="1">C51+SUMIFS(IncExcl,IncDocDate,"&gt;="&amp;DATE(YEAR(D$4),MONTH(D$4),1),IncDocDate,"&lt;="&amp;D$4,IncAccount,$A51)-SUMIFS(ExpExcl,ExpDocDate,"&gt;="&amp;DATE(YEAR(D$4),MONTH(D$4),1),ExpDocDate,"&lt;="&amp;D$4,ExpAccount,$A51)+SUMIFS(IncTax1,IncDocDate,"&gt;="&amp;DATE(YEAR(D$4),MONTH(D$4),1),IncDocDate,"&lt;="&amp;D$4)-SUMIFS(ExpTax1,ExpDocDate,"&gt;="&amp;DATE(YEAR(D$4),MONTH(D$4),1),ExpDocDate,"&lt;="&amp;D$4)</f>
        <v>15101807.232557783</v>
      </c>
      <c r="E51" s="34" cm="1">
        <f t="array" aca="1" ref="E51" ca="1">D51+SUMIFS(IncExcl,IncDocDate,"&gt;="&amp;DATE(YEAR(E$4),MONTH(E$4),1),IncDocDate,"&lt;="&amp;E$4,IncAccount,$A51)-SUMIFS(ExpExcl,ExpDocDate,"&gt;="&amp;DATE(YEAR(E$4),MONTH(E$4),1),ExpDocDate,"&lt;="&amp;E$4,ExpAccount,$A51)+SUMIFS(IncTax1,IncDocDate,"&gt;="&amp;DATE(YEAR(E$4),MONTH(E$4),1),IncDocDate,"&lt;="&amp;E$4)-SUMIFS(ExpTax1,ExpDocDate,"&gt;="&amp;DATE(YEAR(E$4),MONTH(E$4),1),ExpDocDate,"&lt;="&amp;E$4)</f>
        <v>16941103.108828969</v>
      </c>
      <c r="F51" s="34" cm="1">
        <f t="array" aca="1" ref="F51" ca="1">E51+SUMIFS(IncExcl,IncDocDate,"&gt;="&amp;DATE(YEAR(F$4),MONTH(F$4),1),IncDocDate,"&lt;="&amp;F$4,IncAccount,$A51)-SUMIFS(ExpExcl,ExpDocDate,"&gt;="&amp;DATE(YEAR(F$4),MONTH(F$4),1),ExpDocDate,"&lt;="&amp;F$4,ExpAccount,$A51)+SUMIFS(IncTax1,IncDocDate,"&gt;="&amp;DATE(YEAR(F$4),MONTH(F$4),1),IncDocDate,"&lt;="&amp;F$4)-SUMIFS(ExpTax1,ExpDocDate,"&gt;="&amp;DATE(YEAR(F$4),MONTH(F$4),1),ExpDocDate,"&lt;="&amp;F$4)</f>
        <v>16941103.108828969</v>
      </c>
      <c r="G51" s="34" cm="1">
        <f t="array" aca="1" ref="G51" ca="1">F51+SUMIFS(IncExcl,IncDocDate,"&gt;="&amp;DATE(YEAR(G$4),MONTH(G$4),1),IncDocDate,"&lt;="&amp;G$4,IncAccount,$A51)-SUMIFS(ExpExcl,ExpDocDate,"&gt;="&amp;DATE(YEAR(G$4),MONTH(G$4),1),ExpDocDate,"&lt;="&amp;G$4,ExpAccount,$A51)+SUMIFS(IncTax1,IncDocDate,"&gt;="&amp;DATE(YEAR(G$4),MONTH(G$4),1),IncDocDate,"&lt;="&amp;G$4)-SUMIFS(ExpTax1,ExpDocDate,"&gt;="&amp;DATE(YEAR(G$4),MONTH(G$4),1),ExpDocDate,"&lt;="&amp;G$4)</f>
        <v>16941103.108828969</v>
      </c>
      <c r="H51" s="34" cm="1">
        <f t="array" aca="1" ref="H51" ca="1">G51+SUMIFS(IncExcl,IncDocDate,"&gt;="&amp;DATE(YEAR(H$4),MONTH(H$4),1),IncDocDate,"&lt;="&amp;H$4,IncAccount,$A51)-SUMIFS(ExpExcl,ExpDocDate,"&gt;="&amp;DATE(YEAR(H$4),MONTH(H$4),1),ExpDocDate,"&lt;="&amp;H$4,ExpAccount,$A51)+SUMIFS(IncTax1,IncDocDate,"&gt;="&amp;DATE(YEAR(H$4),MONTH(H$4),1),IncDocDate,"&lt;="&amp;H$4)-SUMIFS(ExpTax1,ExpDocDate,"&gt;="&amp;DATE(YEAR(H$4),MONTH(H$4),1),ExpDocDate,"&lt;="&amp;H$4)</f>
        <v>16941103.108828969</v>
      </c>
      <c r="I51" s="34" cm="1">
        <f t="array" aca="1" ref="I51" ca="1">H51+SUMIFS(IncExcl,IncDocDate,"&gt;="&amp;DATE(YEAR(I$4),MONTH(I$4),1),IncDocDate,"&lt;="&amp;I$4,IncAccount,$A51)-SUMIFS(ExpExcl,ExpDocDate,"&gt;="&amp;DATE(YEAR(I$4),MONTH(I$4),1),ExpDocDate,"&lt;="&amp;I$4,ExpAccount,$A51)+SUMIFS(IncTax1,IncDocDate,"&gt;="&amp;DATE(YEAR(I$4),MONTH(I$4),1),IncDocDate,"&lt;="&amp;I$4)-SUMIFS(ExpTax1,ExpDocDate,"&gt;="&amp;DATE(YEAR(I$4),MONTH(I$4),1),ExpDocDate,"&lt;="&amp;I$4)</f>
        <v>16941103.108828969</v>
      </c>
      <c r="J51" s="34" cm="1">
        <f t="array" aca="1" ref="J51" ca="1">I51+SUMIFS(IncExcl,IncDocDate,"&gt;="&amp;DATE(YEAR(J$4),MONTH(J$4),1),IncDocDate,"&lt;="&amp;J$4,IncAccount,$A51)-SUMIFS(ExpExcl,ExpDocDate,"&gt;="&amp;DATE(YEAR(J$4),MONTH(J$4),1),ExpDocDate,"&lt;="&amp;J$4,ExpAccount,$A51)+SUMIFS(IncTax1,IncDocDate,"&gt;="&amp;DATE(YEAR(J$4),MONTH(J$4),1),IncDocDate,"&lt;="&amp;J$4)-SUMIFS(ExpTax1,ExpDocDate,"&gt;="&amp;DATE(YEAR(J$4),MONTH(J$4),1),ExpDocDate,"&lt;="&amp;J$4)</f>
        <v>16941103.108828969</v>
      </c>
      <c r="K51" s="34" cm="1">
        <f t="array" aca="1" ref="K51" ca="1">J51+SUMIFS(IncExcl,IncDocDate,"&gt;="&amp;DATE(YEAR(K$4),MONTH(K$4),1),IncDocDate,"&lt;="&amp;K$4,IncAccount,$A51)-SUMIFS(ExpExcl,ExpDocDate,"&gt;="&amp;DATE(YEAR(K$4),MONTH(K$4),1),ExpDocDate,"&lt;="&amp;K$4,ExpAccount,$A51)+SUMIFS(IncTax1,IncDocDate,"&gt;="&amp;DATE(YEAR(K$4),MONTH(K$4),1),IncDocDate,"&lt;="&amp;K$4)-SUMIFS(ExpTax1,ExpDocDate,"&gt;="&amp;DATE(YEAR(K$4),MONTH(K$4),1),ExpDocDate,"&lt;="&amp;K$4)</f>
        <v>16941103.108828969</v>
      </c>
      <c r="L51" s="34" cm="1">
        <f t="array" aca="1" ref="L51" ca="1">K51+SUMIFS(IncExcl,IncDocDate,"&gt;="&amp;DATE(YEAR(L$4),MONTH(L$4),1),IncDocDate,"&lt;="&amp;L$4,IncAccount,$A51)-SUMIFS(ExpExcl,ExpDocDate,"&gt;="&amp;DATE(YEAR(L$4),MONTH(L$4),1),ExpDocDate,"&lt;="&amp;L$4,ExpAccount,$A51)+SUMIFS(IncTax1,IncDocDate,"&gt;="&amp;DATE(YEAR(L$4),MONTH(L$4),1),IncDocDate,"&lt;="&amp;L$4)-SUMIFS(ExpTax1,ExpDocDate,"&gt;="&amp;DATE(YEAR(L$4),MONTH(L$4),1),ExpDocDate,"&lt;="&amp;L$4)</f>
        <v>16941103.108828969</v>
      </c>
      <c r="M51" s="34" cm="1">
        <f t="array" aca="1" ref="M51" ca="1">L51+SUMIFS(IncExcl,IncDocDate,"&gt;="&amp;DATE(YEAR(M$4),MONTH(M$4),1),IncDocDate,"&lt;="&amp;M$4,IncAccount,$A51)-SUMIFS(ExpExcl,ExpDocDate,"&gt;="&amp;DATE(YEAR(M$4),MONTH(M$4),1),ExpDocDate,"&lt;="&amp;M$4,ExpAccount,$A51)+SUMIFS(IncTax1,IncDocDate,"&gt;="&amp;DATE(YEAR(M$4),MONTH(M$4),1),IncDocDate,"&lt;="&amp;M$4)-SUMIFS(ExpTax1,ExpDocDate,"&gt;="&amp;DATE(YEAR(M$4),MONTH(M$4),1),ExpDocDate,"&lt;="&amp;M$4)</f>
        <v>16941103.108828969</v>
      </c>
      <c r="N51" s="34" cm="1">
        <f t="array" aca="1" ref="N51" ca="1">M51+SUMIFS(IncExcl,IncDocDate,"&gt;="&amp;DATE(YEAR(N$4),MONTH(N$4),1),IncDocDate,"&lt;="&amp;N$4,IncAccount,$A51)-SUMIFS(ExpExcl,ExpDocDate,"&gt;="&amp;DATE(YEAR(N$4),MONTH(N$4),1),ExpDocDate,"&lt;="&amp;N$4,ExpAccount,$A51)+SUMIFS(IncTax1,IncDocDate,"&gt;="&amp;DATE(YEAR(N$4),MONTH(N$4),1),IncDocDate,"&lt;="&amp;N$4)-SUMIFS(ExpTax1,ExpDocDate,"&gt;="&amp;DATE(YEAR(N$4),MONTH(N$4),1),ExpDocDate,"&lt;="&amp;N$4)</f>
        <v>16941103.108828969</v>
      </c>
      <c r="O51" s="34" cm="1">
        <f t="array" aca="1" ref="O51" ca="1">N51+SUMIFS(IncExcl,IncDocDate,"&gt;="&amp;DATE(YEAR(O$4),MONTH(O$4),1),IncDocDate,"&lt;="&amp;O$4,IncAccount,$A51)-SUMIFS(ExpExcl,ExpDocDate,"&gt;="&amp;DATE(YEAR(O$4),MONTH(O$4),1),ExpDocDate,"&lt;="&amp;O$4,ExpAccount,$A51)+SUMIFS(IncTax1,IncDocDate,"&gt;="&amp;DATE(YEAR(O$4),MONTH(O$4),1),IncDocDate,"&lt;="&amp;O$4)-SUMIFS(ExpTax1,ExpDocDate,"&gt;="&amp;DATE(YEAR(O$4),MONTH(O$4),1),ExpDocDate,"&lt;="&amp;O$4)</f>
        <v>16941103.108828969</v>
      </c>
      <c r="P51" s="188">
        <f t="shared" ca="1" si="16"/>
        <v>16941103.108828969</v>
      </c>
    </row>
    <row r="52" spans="1:16" ht="15.95" customHeight="1" x14ac:dyDescent="0.3">
      <c r="A52" s="286" t="s">
        <v>602</v>
      </c>
      <c r="B52" s="12" t="str">
        <f ca="1">IF(RIGHT($A52,1)="G",IF(ISNA(VLOOKUP(LEFT($A52,LEN($A52)-1),GroupAll,COLUMN(Groups!$B$4),0)),"Group Not Found",VLOOKUP(LEFT($A52,LEN($A52)-1),GroupAll,COLUMN(Groups!$B$4),0)),IF(ISNA(VLOOKUP($A52,AccountAll,COLUMN(TB!$B$4),0)),"Account Not Found",VLOOKUP($A52,AccountAll,COLUMN(TB!$B$4),0)))</f>
        <v>Sales Tax 2 - Withholding Tax</v>
      </c>
      <c r="C52" s="34" cm="1">
        <f t="array" aca="1" ref="C52" ca="1">IF(RIGHT($A52,1)="G",-SUMIF(AccountAll,LEFT($A52,5)&amp;"*",AccountOpen),-SUMIF(AccountAll,$A52,AccountOpen))</f>
        <v>0</v>
      </c>
      <c r="D52" s="34" cm="1">
        <f t="array" aca="1" ref="D52" ca="1">C52+SUMIFS(IncExcl,IncDocDate,"&gt;="&amp;DATE(YEAR(D$4),MONTH(D$4),1),IncDocDate,"&lt;="&amp;D$4,IncAccount,$A52)-SUMIFS(ExpExcl,ExpDocDate,"&gt;="&amp;DATE(YEAR(D$4),MONTH(D$4),1),ExpDocDate,"&lt;="&amp;D$4,ExpAccount,$A52)+IF(IncTaxCount=2,SUMIFS(IncTax2,IncDocDate,"&gt;="&amp;DATE(YEAR(D$4),MONTH(D$4),1),IncDocDate,"&lt;="&amp;D$4),0)-IF(ExpTaxCount=2,SUMIFS(ExpTax2,ExpDocDate,"&gt;="&amp;DATE(YEAR(D$4),MONTH(D$4),1),ExpDocDate,"&lt;="&amp;D$4),0)</f>
        <v>137146.13272727275</v>
      </c>
      <c r="E52" s="34" cm="1">
        <f t="array" aca="1" ref="E52" ca="1">D52+SUMIFS(IncExcl,IncDocDate,"&gt;="&amp;DATE(YEAR(E$4),MONTH(E$4),1),IncDocDate,"&lt;="&amp;E$4,IncAccount,$A52)-SUMIFS(ExpExcl,ExpDocDate,"&gt;="&amp;DATE(YEAR(E$4),MONTH(E$4),1),ExpDocDate,"&lt;="&amp;E$4,ExpAccount,$A52)+IF(IncTaxCount=2,SUMIFS(IncTax2,IncDocDate,"&gt;="&amp;DATE(YEAR(E$4),MONTH(E$4),1),IncDocDate,"&lt;="&amp;E$4),0)-IF(ExpTaxCount=2,SUMIFS(ExpTax2,ExpDocDate,"&gt;="&amp;DATE(YEAR(E$4),MONTH(E$4),1),ExpDocDate,"&lt;="&amp;E$4),0)</f>
        <v>137146.13272727275</v>
      </c>
      <c r="F52" s="34" cm="1">
        <f t="array" aca="1" ref="F52" ca="1">E52+SUMIFS(IncExcl,IncDocDate,"&gt;="&amp;DATE(YEAR(F$4),MONTH(F$4),1),IncDocDate,"&lt;="&amp;F$4,IncAccount,$A52)-SUMIFS(ExpExcl,ExpDocDate,"&gt;="&amp;DATE(YEAR(F$4),MONTH(F$4),1),ExpDocDate,"&lt;="&amp;F$4,ExpAccount,$A52)+IF(IncTaxCount=2,SUMIFS(IncTax2,IncDocDate,"&gt;="&amp;DATE(YEAR(F$4),MONTH(F$4),1),IncDocDate,"&lt;="&amp;F$4),0)-IF(ExpTaxCount=2,SUMIFS(ExpTax2,ExpDocDate,"&gt;="&amp;DATE(YEAR(F$4),MONTH(F$4),1),ExpDocDate,"&lt;="&amp;F$4),0)</f>
        <v>137146.13272727275</v>
      </c>
      <c r="G52" s="34" cm="1">
        <f t="array" aca="1" ref="G52" ca="1">F52+SUMIFS(IncExcl,IncDocDate,"&gt;="&amp;DATE(YEAR(G$4),MONTH(G$4),1),IncDocDate,"&lt;="&amp;G$4,IncAccount,$A52)-SUMIFS(ExpExcl,ExpDocDate,"&gt;="&amp;DATE(YEAR(G$4),MONTH(G$4),1),ExpDocDate,"&lt;="&amp;G$4,ExpAccount,$A52)+IF(IncTaxCount=2,SUMIFS(IncTax2,IncDocDate,"&gt;="&amp;DATE(YEAR(G$4),MONTH(G$4),1),IncDocDate,"&lt;="&amp;G$4),0)-IF(ExpTaxCount=2,SUMIFS(ExpTax2,ExpDocDate,"&gt;="&amp;DATE(YEAR(G$4),MONTH(G$4),1),ExpDocDate,"&lt;="&amp;G$4),0)</f>
        <v>137146.13272727275</v>
      </c>
      <c r="H52" s="34" cm="1">
        <f t="array" aca="1" ref="H52" ca="1">G52+SUMIFS(IncExcl,IncDocDate,"&gt;="&amp;DATE(YEAR(H$4),MONTH(H$4),1),IncDocDate,"&lt;="&amp;H$4,IncAccount,$A52)-SUMIFS(ExpExcl,ExpDocDate,"&gt;="&amp;DATE(YEAR(H$4),MONTH(H$4),1),ExpDocDate,"&lt;="&amp;H$4,ExpAccount,$A52)+IF(IncTaxCount=2,SUMIFS(IncTax2,IncDocDate,"&gt;="&amp;DATE(YEAR(H$4),MONTH(H$4),1),IncDocDate,"&lt;="&amp;H$4),0)-IF(ExpTaxCount=2,SUMIFS(ExpTax2,ExpDocDate,"&gt;="&amp;DATE(YEAR(H$4),MONTH(H$4),1),ExpDocDate,"&lt;="&amp;H$4),0)</f>
        <v>137146.13272727275</v>
      </c>
      <c r="I52" s="34" cm="1">
        <f t="array" aca="1" ref="I52" ca="1">H52+SUMIFS(IncExcl,IncDocDate,"&gt;="&amp;DATE(YEAR(I$4),MONTH(I$4),1),IncDocDate,"&lt;="&amp;I$4,IncAccount,$A52)-SUMIFS(ExpExcl,ExpDocDate,"&gt;="&amp;DATE(YEAR(I$4),MONTH(I$4),1),ExpDocDate,"&lt;="&amp;I$4,ExpAccount,$A52)+IF(IncTaxCount=2,SUMIFS(IncTax2,IncDocDate,"&gt;="&amp;DATE(YEAR(I$4),MONTH(I$4),1),IncDocDate,"&lt;="&amp;I$4),0)-IF(ExpTaxCount=2,SUMIFS(ExpTax2,ExpDocDate,"&gt;="&amp;DATE(YEAR(I$4),MONTH(I$4),1),ExpDocDate,"&lt;="&amp;I$4),0)</f>
        <v>137146.13272727275</v>
      </c>
      <c r="J52" s="34" cm="1">
        <f t="array" aca="1" ref="J52" ca="1">I52+SUMIFS(IncExcl,IncDocDate,"&gt;="&amp;DATE(YEAR(J$4),MONTH(J$4),1),IncDocDate,"&lt;="&amp;J$4,IncAccount,$A52)-SUMIFS(ExpExcl,ExpDocDate,"&gt;="&amp;DATE(YEAR(J$4),MONTH(J$4),1),ExpDocDate,"&lt;="&amp;J$4,ExpAccount,$A52)+IF(IncTaxCount=2,SUMIFS(IncTax2,IncDocDate,"&gt;="&amp;DATE(YEAR(J$4),MONTH(J$4),1),IncDocDate,"&lt;="&amp;J$4),0)-IF(ExpTaxCount=2,SUMIFS(ExpTax2,ExpDocDate,"&gt;="&amp;DATE(YEAR(J$4),MONTH(J$4),1),ExpDocDate,"&lt;="&amp;J$4),0)</f>
        <v>137146.13272727275</v>
      </c>
      <c r="K52" s="34" cm="1">
        <f t="array" aca="1" ref="K52" ca="1">J52+SUMIFS(IncExcl,IncDocDate,"&gt;="&amp;DATE(YEAR(K$4),MONTH(K$4),1),IncDocDate,"&lt;="&amp;K$4,IncAccount,$A52)-SUMIFS(ExpExcl,ExpDocDate,"&gt;="&amp;DATE(YEAR(K$4),MONTH(K$4),1),ExpDocDate,"&lt;="&amp;K$4,ExpAccount,$A52)+IF(IncTaxCount=2,SUMIFS(IncTax2,IncDocDate,"&gt;="&amp;DATE(YEAR(K$4),MONTH(K$4),1),IncDocDate,"&lt;="&amp;K$4),0)-IF(ExpTaxCount=2,SUMIFS(ExpTax2,ExpDocDate,"&gt;="&amp;DATE(YEAR(K$4),MONTH(K$4),1),ExpDocDate,"&lt;="&amp;K$4),0)</f>
        <v>137146.13272727275</v>
      </c>
      <c r="L52" s="34" cm="1">
        <f t="array" aca="1" ref="L52" ca="1">K52+SUMIFS(IncExcl,IncDocDate,"&gt;="&amp;DATE(YEAR(L$4),MONTH(L$4),1),IncDocDate,"&lt;="&amp;L$4,IncAccount,$A52)-SUMIFS(ExpExcl,ExpDocDate,"&gt;="&amp;DATE(YEAR(L$4),MONTH(L$4),1),ExpDocDate,"&lt;="&amp;L$4,ExpAccount,$A52)+IF(IncTaxCount=2,SUMIFS(IncTax2,IncDocDate,"&gt;="&amp;DATE(YEAR(L$4),MONTH(L$4),1),IncDocDate,"&lt;="&amp;L$4),0)-IF(ExpTaxCount=2,SUMIFS(ExpTax2,ExpDocDate,"&gt;="&amp;DATE(YEAR(L$4),MONTH(L$4),1),ExpDocDate,"&lt;="&amp;L$4),0)</f>
        <v>137146.13272727275</v>
      </c>
      <c r="M52" s="34" cm="1">
        <f t="array" aca="1" ref="M52" ca="1">L52+SUMIFS(IncExcl,IncDocDate,"&gt;="&amp;DATE(YEAR(M$4),MONTH(M$4),1),IncDocDate,"&lt;="&amp;M$4,IncAccount,$A52)-SUMIFS(ExpExcl,ExpDocDate,"&gt;="&amp;DATE(YEAR(M$4),MONTH(M$4),1),ExpDocDate,"&lt;="&amp;M$4,ExpAccount,$A52)+IF(IncTaxCount=2,SUMIFS(IncTax2,IncDocDate,"&gt;="&amp;DATE(YEAR(M$4),MONTH(M$4),1),IncDocDate,"&lt;="&amp;M$4),0)-IF(ExpTaxCount=2,SUMIFS(ExpTax2,ExpDocDate,"&gt;="&amp;DATE(YEAR(M$4),MONTH(M$4),1),ExpDocDate,"&lt;="&amp;M$4),0)</f>
        <v>137146.13272727275</v>
      </c>
      <c r="N52" s="34" cm="1">
        <f t="array" aca="1" ref="N52" ca="1">M52+SUMIFS(IncExcl,IncDocDate,"&gt;="&amp;DATE(YEAR(N$4),MONTH(N$4),1),IncDocDate,"&lt;="&amp;N$4,IncAccount,$A52)-SUMIFS(ExpExcl,ExpDocDate,"&gt;="&amp;DATE(YEAR(N$4),MONTH(N$4),1),ExpDocDate,"&lt;="&amp;N$4,ExpAccount,$A52)+IF(IncTaxCount=2,SUMIFS(IncTax2,IncDocDate,"&gt;="&amp;DATE(YEAR(N$4),MONTH(N$4),1),IncDocDate,"&lt;="&amp;N$4),0)-IF(ExpTaxCount=2,SUMIFS(ExpTax2,ExpDocDate,"&gt;="&amp;DATE(YEAR(N$4),MONTH(N$4),1),ExpDocDate,"&lt;="&amp;N$4),0)</f>
        <v>137146.13272727275</v>
      </c>
      <c r="O52" s="34" cm="1">
        <f t="array" aca="1" ref="O52" ca="1">N52+SUMIFS(IncExcl,IncDocDate,"&gt;="&amp;DATE(YEAR(O$4),MONTH(O$4),1),IncDocDate,"&lt;="&amp;O$4,IncAccount,$A52)-SUMIFS(ExpExcl,ExpDocDate,"&gt;="&amp;DATE(YEAR(O$4),MONTH(O$4),1),ExpDocDate,"&lt;="&amp;O$4,ExpAccount,$A52)+IF(IncTaxCount=2,SUMIFS(IncTax2,IncDocDate,"&gt;="&amp;DATE(YEAR(O$4),MONTH(O$4),1),IncDocDate,"&lt;="&amp;O$4),0)-IF(ExpTaxCount=2,SUMIFS(ExpTax2,ExpDocDate,"&gt;="&amp;DATE(YEAR(O$4),MONTH(O$4),1),ExpDocDate,"&lt;="&amp;O$4),0)</f>
        <v>137146.13272727275</v>
      </c>
      <c r="P52" s="188">
        <f t="shared" ref="P52" ca="1" si="17">O52</f>
        <v>137146.13272727275</v>
      </c>
    </row>
    <row r="53" spans="1:16" ht="15.95" customHeight="1" x14ac:dyDescent="0.3">
      <c r="A53" s="284" t="s">
        <v>177</v>
      </c>
      <c r="B53" s="12" t="str">
        <f ca="1">IF(RIGHT($A53,1)="G",IF(ISNA(VLOOKUP(LEFT($A53,LEN($A53)-1),GroupAll,COLUMN(Groups!$B$4),0)),"Group Not Found",VLOOKUP(LEFT($A53,LEN($A53)-1),GroupAll,COLUMN(Groups!$B$4),0)),IF(ISNA(VLOOKUP($A53,AccountAll,COLUMN(TB!$B$4),0)),"Account Not Found",VLOOKUP($A53,AccountAll,COLUMN(TB!$B$4),0)))</f>
        <v>Provision for Taxation</v>
      </c>
      <c r="C53" s="34" cm="1">
        <f t="array" aca="1" ref="C53" ca="1">IF(RIGHT($A53,1)="G",-SUMIF(AccountAll,LEFT($A53,5)&amp;"*",AccountOpen),-SUMIF(AccountAll,$A53,AccountOpen))</f>
        <v>0</v>
      </c>
      <c r="D53" s="34" cm="1">
        <f t="array" aca="1" ref="D53" ca="1">C53+IF(RIGHT($A53,1)="G",SUMIFS(IncExcl,IncDocDate,"&gt;="&amp;DATE(YEAR(D$4),MONTH(D$4),1),IncDocDate,"&lt;="&amp;D$4,IncAccount,LEFT($A53,5)&amp;"*")-SUMIFS(ExpExcl,ExpDocDate,"&gt;="&amp;DATE(YEAR(D$4),MONTH(D$4),1),ExpDocDate,"&lt;="&amp;D$4,ExpAccount,LEFT($A53,5)&amp;"*"),SUMIFS(IncExcl,IncDocDate,"&gt;="&amp;DATE(YEAR(D$4),MONTH(D$4),1),IncDocDate,"&lt;="&amp;D$4,IncAccount,$A53)-SUMIFS(ExpExcl,ExpDocDate,"&gt;="&amp;DATE(YEAR(D$4),MONTH(D$4),1),ExpDocDate,"&lt;="&amp;D$4,ExpAccount,$A53))</f>
        <v>0</v>
      </c>
      <c r="E53" s="34" cm="1">
        <f t="array" aca="1" ref="E53" ca="1">D53+IF(RIGHT($A53,1)="G",SUMIFS(IncExcl,IncDocDate,"&gt;="&amp;DATE(YEAR(E$4),MONTH(E$4),1),IncDocDate,"&lt;="&amp;E$4,IncAccount,LEFT($A53,5)&amp;"*")-SUMIFS(ExpExcl,ExpDocDate,"&gt;="&amp;DATE(YEAR(E$4),MONTH(E$4),1),ExpDocDate,"&lt;="&amp;E$4,ExpAccount,LEFT($A53,5)&amp;"*"),SUMIFS(IncExcl,IncDocDate,"&gt;="&amp;DATE(YEAR(E$4),MONTH(E$4),1),IncDocDate,"&lt;="&amp;E$4,IncAccount,$A53)-SUMIFS(ExpExcl,ExpDocDate,"&gt;="&amp;DATE(YEAR(E$4),MONTH(E$4),1),ExpDocDate,"&lt;="&amp;E$4,ExpAccount,$A53))</f>
        <v>0</v>
      </c>
      <c r="F53" s="34" cm="1">
        <f t="array" aca="1" ref="F53" ca="1">E53+IF(RIGHT($A53,1)="G",SUMIFS(IncExcl,IncDocDate,"&gt;="&amp;DATE(YEAR(F$4),MONTH(F$4),1),IncDocDate,"&lt;="&amp;F$4,IncAccount,LEFT($A53,5)&amp;"*")-SUMIFS(ExpExcl,ExpDocDate,"&gt;="&amp;DATE(YEAR(F$4),MONTH(F$4),1),ExpDocDate,"&lt;="&amp;F$4,ExpAccount,LEFT($A53,5)&amp;"*"),SUMIFS(IncExcl,IncDocDate,"&gt;="&amp;DATE(YEAR(F$4),MONTH(F$4),1),IncDocDate,"&lt;="&amp;F$4,IncAccount,$A53)-SUMIFS(ExpExcl,ExpDocDate,"&gt;="&amp;DATE(YEAR(F$4),MONTH(F$4),1),ExpDocDate,"&lt;="&amp;F$4,ExpAccount,$A53))</f>
        <v>0</v>
      </c>
      <c r="G53" s="34" cm="1">
        <f t="array" aca="1" ref="G53" ca="1">F53+IF(RIGHT($A53,1)="G",SUMIFS(IncExcl,IncDocDate,"&gt;="&amp;DATE(YEAR(G$4),MONTH(G$4),1),IncDocDate,"&lt;="&amp;G$4,IncAccount,LEFT($A53,5)&amp;"*")-SUMIFS(ExpExcl,ExpDocDate,"&gt;="&amp;DATE(YEAR(G$4),MONTH(G$4),1),ExpDocDate,"&lt;="&amp;G$4,ExpAccount,LEFT($A53,5)&amp;"*"),SUMIFS(IncExcl,IncDocDate,"&gt;="&amp;DATE(YEAR(G$4),MONTH(G$4),1),IncDocDate,"&lt;="&amp;G$4,IncAccount,$A53)-SUMIFS(ExpExcl,ExpDocDate,"&gt;="&amp;DATE(YEAR(G$4),MONTH(G$4),1),ExpDocDate,"&lt;="&amp;G$4,ExpAccount,$A53))</f>
        <v>0</v>
      </c>
      <c r="H53" s="34" cm="1">
        <f t="array" aca="1" ref="H53" ca="1">G53+IF(RIGHT($A53,1)="G",SUMIFS(IncExcl,IncDocDate,"&gt;="&amp;DATE(YEAR(H$4),MONTH(H$4),1),IncDocDate,"&lt;="&amp;H$4,IncAccount,LEFT($A53,5)&amp;"*")-SUMIFS(ExpExcl,ExpDocDate,"&gt;="&amp;DATE(YEAR(H$4),MONTH(H$4),1),ExpDocDate,"&lt;="&amp;H$4,ExpAccount,LEFT($A53,5)&amp;"*"),SUMIFS(IncExcl,IncDocDate,"&gt;="&amp;DATE(YEAR(H$4),MONTH(H$4),1),IncDocDate,"&lt;="&amp;H$4,IncAccount,$A53)-SUMIFS(ExpExcl,ExpDocDate,"&gt;="&amp;DATE(YEAR(H$4),MONTH(H$4),1),ExpDocDate,"&lt;="&amp;H$4,ExpAccount,$A53))</f>
        <v>0</v>
      </c>
      <c r="I53" s="34" cm="1">
        <f t="array" aca="1" ref="I53" ca="1">H53+IF(RIGHT($A53,1)="G",SUMIFS(IncExcl,IncDocDate,"&gt;="&amp;DATE(YEAR(I$4),MONTH(I$4),1),IncDocDate,"&lt;="&amp;I$4,IncAccount,LEFT($A53,5)&amp;"*")-SUMIFS(ExpExcl,ExpDocDate,"&gt;="&amp;DATE(YEAR(I$4),MONTH(I$4),1),ExpDocDate,"&lt;="&amp;I$4,ExpAccount,LEFT($A53,5)&amp;"*"),SUMIFS(IncExcl,IncDocDate,"&gt;="&amp;DATE(YEAR(I$4),MONTH(I$4),1),IncDocDate,"&lt;="&amp;I$4,IncAccount,$A53)-SUMIFS(ExpExcl,ExpDocDate,"&gt;="&amp;DATE(YEAR(I$4),MONTH(I$4),1),ExpDocDate,"&lt;="&amp;I$4,ExpAccount,$A53))</f>
        <v>0</v>
      </c>
      <c r="J53" s="34" cm="1">
        <f t="array" aca="1" ref="J53" ca="1">I53+IF(RIGHT($A53,1)="G",SUMIFS(IncExcl,IncDocDate,"&gt;="&amp;DATE(YEAR(J$4),MONTH(J$4),1),IncDocDate,"&lt;="&amp;J$4,IncAccount,LEFT($A53,5)&amp;"*")-SUMIFS(ExpExcl,ExpDocDate,"&gt;="&amp;DATE(YEAR(J$4),MONTH(J$4),1),ExpDocDate,"&lt;="&amp;J$4,ExpAccount,LEFT($A53,5)&amp;"*"),SUMIFS(IncExcl,IncDocDate,"&gt;="&amp;DATE(YEAR(J$4),MONTH(J$4),1),IncDocDate,"&lt;="&amp;J$4,IncAccount,$A53)-SUMIFS(ExpExcl,ExpDocDate,"&gt;="&amp;DATE(YEAR(J$4),MONTH(J$4),1),ExpDocDate,"&lt;="&amp;J$4,ExpAccount,$A53))</f>
        <v>0</v>
      </c>
      <c r="K53" s="34" cm="1">
        <f t="array" aca="1" ref="K53" ca="1">J53+IF(RIGHT($A53,1)="G",SUMIFS(IncExcl,IncDocDate,"&gt;="&amp;DATE(YEAR(K$4),MONTH(K$4),1),IncDocDate,"&lt;="&amp;K$4,IncAccount,LEFT($A53,5)&amp;"*")-SUMIFS(ExpExcl,ExpDocDate,"&gt;="&amp;DATE(YEAR(K$4),MONTH(K$4),1),ExpDocDate,"&lt;="&amp;K$4,ExpAccount,LEFT($A53,5)&amp;"*"),SUMIFS(IncExcl,IncDocDate,"&gt;="&amp;DATE(YEAR(K$4),MONTH(K$4),1),IncDocDate,"&lt;="&amp;K$4,IncAccount,$A53)-SUMIFS(ExpExcl,ExpDocDate,"&gt;="&amp;DATE(YEAR(K$4),MONTH(K$4),1),ExpDocDate,"&lt;="&amp;K$4,ExpAccount,$A53))</f>
        <v>0</v>
      </c>
      <c r="L53" s="34" cm="1">
        <f t="array" aca="1" ref="L53" ca="1">K53+IF(RIGHT($A53,1)="G",SUMIFS(IncExcl,IncDocDate,"&gt;="&amp;DATE(YEAR(L$4),MONTH(L$4),1),IncDocDate,"&lt;="&amp;L$4,IncAccount,LEFT($A53,5)&amp;"*")-SUMIFS(ExpExcl,ExpDocDate,"&gt;="&amp;DATE(YEAR(L$4),MONTH(L$4),1),ExpDocDate,"&lt;="&amp;L$4,ExpAccount,LEFT($A53,5)&amp;"*"),SUMIFS(IncExcl,IncDocDate,"&gt;="&amp;DATE(YEAR(L$4),MONTH(L$4),1),IncDocDate,"&lt;="&amp;L$4,IncAccount,$A53)-SUMIFS(ExpExcl,ExpDocDate,"&gt;="&amp;DATE(YEAR(L$4),MONTH(L$4),1),ExpDocDate,"&lt;="&amp;L$4,ExpAccount,$A53))</f>
        <v>0</v>
      </c>
      <c r="M53" s="34" cm="1">
        <f t="array" aca="1" ref="M53" ca="1">L53+IF(RIGHT($A53,1)="G",SUMIFS(IncExcl,IncDocDate,"&gt;="&amp;DATE(YEAR(M$4),MONTH(M$4),1),IncDocDate,"&lt;="&amp;M$4,IncAccount,LEFT($A53,5)&amp;"*")-SUMIFS(ExpExcl,ExpDocDate,"&gt;="&amp;DATE(YEAR(M$4),MONTH(M$4),1),ExpDocDate,"&lt;="&amp;M$4,ExpAccount,LEFT($A53,5)&amp;"*"),SUMIFS(IncExcl,IncDocDate,"&gt;="&amp;DATE(YEAR(M$4),MONTH(M$4),1),IncDocDate,"&lt;="&amp;M$4,IncAccount,$A53)-SUMIFS(ExpExcl,ExpDocDate,"&gt;="&amp;DATE(YEAR(M$4),MONTH(M$4),1),ExpDocDate,"&lt;="&amp;M$4,ExpAccount,$A53))</f>
        <v>0</v>
      </c>
      <c r="N53" s="34" cm="1">
        <f t="array" aca="1" ref="N53" ca="1">M53+IF(RIGHT($A53,1)="G",SUMIFS(IncExcl,IncDocDate,"&gt;="&amp;DATE(YEAR(N$4),MONTH(N$4),1),IncDocDate,"&lt;="&amp;N$4,IncAccount,LEFT($A53,5)&amp;"*")-SUMIFS(ExpExcl,ExpDocDate,"&gt;="&amp;DATE(YEAR(N$4),MONTH(N$4),1),ExpDocDate,"&lt;="&amp;N$4,ExpAccount,LEFT($A53,5)&amp;"*"),SUMIFS(IncExcl,IncDocDate,"&gt;="&amp;DATE(YEAR(N$4),MONTH(N$4),1),IncDocDate,"&lt;="&amp;N$4,IncAccount,$A53)-SUMIFS(ExpExcl,ExpDocDate,"&gt;="&amp;DATE(YEAR(N$4),MONTH(N$4),1),ExpDocDate,"&lt;="&amp;N$4,ExpAccount,$A53))</f>
        <v>0</v>
      </c>
      <c r="O53" s="34" cm="1">
        <f t="array" aca="1" ref="O53" ca="1">N53+IF(RIGHT($A53,1)="G",SUMIFS(IncExcl,IncDocDate,"&gt;="&amp;DATE(YEAR(O$4),MONTH(O$4),1),IncDocDate,"&lt;="&amp;O$4,IncAccount,LEFT($A53,5)&amp;"*")-SUMIFS(ExpExcl,ExpDocDate,"&gt;="&amp;DATE(YEAR(O$4),MONTH(O$4),1),ExpDocDate,"&lt;="&amp;O$4,ExpAccount,LEFT($A53,5)&amp;"*"),SUMIFS(IncExcl,IncDocDate,"&gt;="&amp;DATE(YEAR(O$4),MONTH(O$4),1),IncDocDate,"&lt;="&amp;O$4,IncAccount,$A53)-SUMIFS(ExpExcl,ExpDocDate,"&gt;="&amp;DATE(YEAR(O$4),MONTH(O$4),1),ExpDocDate,"&lt;="&amp;O$4,ExpAccount,$A53))</f>
        <v>0</v>
      </c>
      <c r="P53" s="188">
        <f t="shared" ca="1" si="16"/>
        <v>0</v>
      </c>
    </row>
    <row r="54" spans="1:16" ht="15.95" customHeight="1" x14ac:dyDescent="0.3">
      <c r="A54" s="284" t="s">
        <v>176</v>
      </c>
      <c r="B54" s="12" t="str">
        <f ca="1">IF(RIGHT($A54,1)="G",IF(ISNA(VLOOKUP(LEFT($A54,LEN($A54)-1),GroupAll,COLUMN(Groups!$B$4),0)),"Group Not Found",VLOOKUP(LEFT($A54,LEN($A54)-1),GroupAll,COLUMN(Groups!$B$4),0)),IF(ISNA(VLOOKUP($A54,AccountAll,COLUMN(TB!$B$4),0)),"Account Not Found",VLOOKUP($A54,AccountAll,COLUMN(TB!$B$4),0)))</f>
        <v>Dividends Payable</v>
      </c>
      <c r="C54" s="34" cm="1">
        <f t="array" aca="1" ref="C54" ca="1">IF(RIGHT($A54,1)="G",-SUMIF(AccountAll,LEFT($A54,5)&amp;"*",AccountOpen),-SUMIF(AccountAll,$A54,AccountOpen))</f>
        <v>0</v>
      </c>
      <c r="D54" s="34" cm="1">
        <f t="array" aca="1" ref="D54" ca="1">C54+IF(RIGHT($A54,1)="G",SUMIFS(IncExcl,IncDocDate,"&gt;="&amp;DATE(YEAR(D$4),MONTH(D$4),1),IncDocDate,"&lt;="&amp;D$4,IncAccount,LEFT($A54,5)&amp;"*")-SUMIFS(ExpExcl,ExpDocDate,"&gt;="&amp;DATE(YEAR(D$4),MONTH(D$4),1),ExpDocDate,"&lt;="&amp;D$4,ExpAccount,LEFT($A54,5)&amp;"*"),SUMIFS(IncExcl,IncDocDate,"&gt;="&amp;DATE(YEAR(D$4),MONTH(D$4),1),IncDocDate,"&lt;="&amp;D$4,IncAccount,$A54)-SUMIFS(ExpExcl,ExpDocDate,"&gt;="&amp;DATE(YEAR(D$4),MONTH(D$4),1),ExpDocDate,"&lt;="&amp;D$4,ExpAccount,$A54))</f>
        <v>0</v>
      </c>
      <c r="E54" s="34" cm="1">
        <f t="array" aca="1" ref="E54" ca="1">D54+IF(RIGHT($A54,1)="G",SUMIFS(IncExcl,IncDocDate,"&gt;="&amp;DATE(YEAR(E$4),MONTH(E$4),1),IncDocDate,"&lt;="&amp;E$4,IncAccount,LEFT($A54,5)&amp;"*")-SUMIFS(ExpExcl,ExpDocDate,"&gt;="&amp;DATE(YEAR(E$4),MONTH(E$4),1),ExpDocDate,"&lt;="&amp;E$4,ExpAccount,LEFT($A54,5)&amp;"*"),SUMIFS(IncExcl,IncDocDate,"&gt;="&amp;DATE(YEAR(E$4),MONTH(E$4),1),IncDocDate,"&lt;="&amp;E$4,IncAccount,$A54)-SUMIFS(ExpExcl,ExpDocDate,"&gt;="&amp;DATE(YEAR(E$4),MONTH(E$4),1),ExpDocDate,"&lt;="&amp;E$4,ExpAccount,$A54))</f>
        <v>0</v>
      </c>
      <c r="F54" s="34" cm="1">
        <f t="array" aca="1" ref="F54" ca="1">E54+IF(RIGHT($A54,1)="G",SUMIFS(IncExcl,IncDocDate,"&gt;="&amp;DATE(YEAR(F$4),MONTH(F$4),1),IncDocDate,"&lt;="&amp;F$4,IncAccount,LEFT($A54,5)&amp;"*")-SUMIFS(ExpExcl,ExpDocDate,"&gt;="&amp;DATE(YEAR(F$4),MONTH(F$4),1),ExpDocDate,"&lt;="&amp;F$4,ExpAccount,LEFT($A54,5)&amp;"*"),SUMIFS(IncExcl,IncDocDate,"&gt;="&amp;DATE(YEAR(F$4),MONTH(F$4),1),IncDocDate,"&lt;="&amp;F$4,IncAccount,$A54)-SUMIFS(ExpExcl,ExpDocDate,"&gt;="&amp;DATE(YEAR(F$4),MONTH(F$4),1),ExpDocDate,"&lt;="&amp;F$4,ExpAccount,$A54))</f>
        <v>0</v>
      </c>
      <c r="G54" s="34" cm="1">
        <f t="array" aca="1" ref="G54" ca="1">F54+IF(RIGHT($A54,1)="G",SUMIFS(IncExcl,IncDocDate,"&gt;="&amp;DATE(YEAR(G$4),MONTH(G$4),1),IncDocDate,"&lt;="&amp;G$4,IncAccount,LEFT($A54,5)&amp;"*")-SUMIFS(ExpExcl,ExpDocDate,"&gt;="&amp;DATE(YEAR(G$4),MONTH(G$4),1),ExpDocDate,"&lt;="&amp;G$4,ExpAccount,LEFT($A54,5)&amp;"*"),SUMIFS(IncExcl,IncDocDate,"&gt;="&amp;DATE(YEAR(G$4),MONTH(G$4),1),IncDocDate,"&lt;="&amp;G$4,IncAccount,$A54)-SUMIFS(ExpExcl,ExpDocDate,"&gt;="&amp;DATE(YEAR(G$4),MONTH(G$4),1),ExpDocDate,"&lt;="&amp;G$4,ExpAccount,$A54))</f>
        <v>0</v>
      </c>
      <c r="H54" s="34" cm="1">
        <f t="array" aca="1" ref="H54" ca="1">G54+IF(RIGHT($A54,1)="G",SUMIFS(IncExcl,IncDocDate,"&gt;="&amp;DATE(YEAR(H$4),MONTH(H$4),1),IncDocDate,"&lt;="&amp;H$4,IncAccount,LEFT($A54,5)&amp;"*")-SUMIFS(ExpExcl,ExpDocDate,"&gt;="&amp;DATE(YEAR(H$4),MONTH(H$4),1),ExpDocDate,"&lt;="&amp;H$4,ExpAccount,LEFT($A54,5)&amp;"*"),SUMIFS(IncExcl,IncDocDate,"&gt;="&amp;DATE(YEAR(H$4),MONTH(H$4),1),IncDocDate,"&lt;="&amp;H$4,IncAccount,$A54)-SUMIFS(ExpExcl,ExpDocDate,"&gt;="&amp;DATE(YEAR(H$4),MONTH(H$4),1),ExpDocDate,"&lt;="&amp;H$4,ExpAccount,$A54))</f>
        <v>0</v>
      </c>
      <c r="I54" s="34" cm="1">
        <f t="array" aca="1" ref="I54" ca="1">H54+IF(RIGHT($A54,1)="G",SUMIFS(IncExcl,IncDocDate,"&gt;="&amp;DATE(YEAR(I$4),MONTH(I$4),1),IncDocDate,"&lt;="&amp;I$4,IncAccount,LEFT($A54,5)&amp;"*")-SUMIFS(ExpExcl,ExpDocDate,"&gt;="&amp;DATE(YEAR(I$4),MONTH(I$4),1),ExpDocDate,"&lt;="&amp;I$4,ExpAccount,LEFT($A54,5)&amp;"*"),SUMIFS(IncExcl,IncDocDate,"&gt;="&amp;DATE(YEAR(I$4),MONTH(I$4),1),IncDocDate,"&lt;="&amp;I$4,IncAccount,$A54)-SUMIFS(ExpExcl,ExpDocDate,"&gt;="&amp;DATE(YEAR(I$4),MONTH(I$4),1),ExpDocDate,"&lt;="&amp;I$4,ExpAccount,$A54))</f>
        <v>0</v>
      </c>
      <c r="J54" s="34" cm="1">
        <f t="array" aca="1" ref="J54" ca="1">I54+IF(RIGHT($A54,1)="G",SUMIFS(IncExcl,IncDocDate,"&gt;="&amp;DATE(YEAR(J$4),MONTH(J$4),1),IncDocDate,"&lt;="&amp;J$4,IncAccount,LEFT($A54,5)&amp;"*")-SUMIFS(ExpExcl,ExpDocDate,"&gt;="&amp;DATE(YEAR(J$4),MONTH(J$4),1),ExpDocDate,"&lt;="&amp;J$4,ExpAccount,LEFT($A54,5)&amp;"*"),SUMIFS(IncExcl,IncDocDate,"&gt;="&amp;DATE(YEAR(J$4),MONTH(J$4),1),IncDocDate,"&lt;="&amp;J$4,IncAccount,$A54)-SUMIFS(ExpExcl,ExpDocDate,"&gt;="&amp;DATE(YEAR(J$4),MONTH(J$4),1),ExpDocDate,"&lt;="&amp;J$4,ExpAccount,$A54))</f>
        <v>0</v>
      </c>
      <c r="K54" s="34" cm="1">
        <f t="array" aca="1" ref="K54" ca="1">J54+IF(RIGHT($A54,1)="G",SUMIFS(IncExcl,IncDocDate,"&gt;="&amp;DATE(YEAR(K$4),MONTH(K$4),1),IncDocDate,"&lt;="&amp;K$4,IncAccount,LEFT($A54,5)&amp;"*")-SUMIFS(ExpExcl,ExpDocDate,"&gt;="&amp;DATE(YEAR(K$4),MONTH(K$4),1),ExpDocDate,"&lt;="&amp;K$4,ExpAccount,LEFT($A54,5)&amp;"*"),SUMIFS(IncExcl,IncDocDate,"&gt;="&amp;DATE(YEAR(K$4),MONTH(K$4),1),IncDocDate,"&lt;="&amp;K$4,IncAccount,$A54)-SUMIFS(ExpExcl,ExpDocDate,"&gt;="&amp;DATE(YEAR(K$4),MONTH(K$4),1),ExpDocDate,"&lt;="&amp;K$4,ExpAccount,$A54))</f>
        <v>0</v>
      </c>
      <c r="L54" s="34" cm="1">
        <f t="array" aca="1" ref="L54" ca="1">K54+IF(RIGHT($A54,1)="G",SUMIFS(IncExcl,IncDocDate,"&gt;="&amp;DATE(YEAR(L$4),MONTH(L$4),1),IncDocDate,"&lt;="&amp;L$4,IncAccount,LEFT($A54,5)&amp;"*")-SUMIFS(ExpExcl,ExpDocDate,"&gt;="&amp;DATE(YEAR(L$4),MONTH(L$4),1),ExpDocDate,"&lt;="&amp;L$4,ExpAccount,LEFT($A54,5)&amp;"*"),SUMIFS(IncExcl,IncDocDate,"&gt;="&amp;DATE(YEAR(L$4),MONTH(L$4),1),IncDocDate,"&lt;="&amp;L$4,IncAccount,$A54)-SUMIFS(ExpExcl,ExpDocDate,"&gt;="&amp;DATE(YEAR(L$4),MONTH(L$4),1),ExpDocDate,"&lt;="&amp;L$4,ExpAccount,$A54))</f>
        <v>0</v>
      </c>
      <c r="M54" s="34" cm="1">
        <f t="array" aca="1" ref="M54" ca="1">L54+IF(RIGHT($A54,1)="G",SUMIFS(IncExcl,IncDocDate,"&gt;="&amp;DATE(YEAR(M$4),MONTH(M$4),1),IncDocDate,"&lt;="&amp;M$4,IncAccount,LEFT($A54,5)&amp;"*")-SUMIFS(ExpExcl,ExpDocDate,"&gt;="&amp;DATE(YEAR(M$4),MONTH(M$4),1),ExpDocDate,"&lt;="&amp;M$4,ExpAccount,LEFT($A54,5)&amp;"*"),SUMIFS(IncExcl,IncDocDate,"&gt;="&amp;DATE(YEAR(M$4),MONTH(M$4),1),IncDocDate,"&lt;="&amp;M$4,IncAccount,$A54)-SUMIFS(ExpExcl,ExpDocDate,"&gt;="&amp;DATE(YEAR(M$4),MONTH(M$4),1),ExpDocDate,"&lt;="&amp;M$4,ExpAccount,$A54))</f>
        <v>0</v>
      </c>
      <c r="N54" s="34" cm="1">
        <f t="array" aca="1" ref="N54" ca="1">M54+IF(RIGHT($A54,1)="G",SUMIFS(IncExcl,IncDocDate,"&gt;="&amp;DATE(YEAR(N$4),MONTH(N$4),1),IncDocDate,"&lt;="&amp;N$4,IncAccount,LEFT($A54,5)&amp;"*")-SUMIFS(ExpExcl,ExpDocDate,"&gt;="&amp;DATE(YEAR(N$4),MONTH(N$4),1),ExpDocDate,"&lt;="&amp;N$4,ExpAccount,LEFT($A54,5)&amp;"*"),SUMIFS(IncExcl,IncDocDate,"&gt;="&amp;DATE(YEAR(N$4),MONTH(N$4),1),IncDocDate,"&lt;="&amp;N$4,IncAccount,$A54)-SUMIFS(ExpExcl,ExpDocDate,"&gt;="&amp;DATE(YEAR(N$4),MONTH(N$4),1),ExpDocDate,"&lt;="&amp;N$4,ExpAccount,$A54))</f>
        <v>0</v>
      </c>
      <c r="O54" s="34" cm="1">
        <f t="array" aca="1" ref="O54" ca="1">N54+IF(RIGHT($A54,1)="G",SUMIFS(IncExcl,IncDocDate,"&gt;="&amp;DATE(YEAR(O$4),MONTH(O$4),1),IncDocDate,"&lt;="&amp;O$4,IncAccount,LEFT($A54,5)&amp;"*")-SUMIFS(ExpExcl,ExpDocDate,"&gt;="&amp;DATE(YEAR(O$4),MONTH(O$4),1),ExpDocDate,"&lt;="&amp;O$4,ExpAccount,LEFT($A54,5)&amp;"*"),SUMIFS(IncExcl,IncDocDate,"&gt;="&amp;DATE(YEAR(O$4),MONTH(O$4),1),IncDocDate,"&lt;="&amp;O$4,IncAccount,$A54)-SUMIFS(ExpExcl,ExpDocDate,"&gt;="&amp;DATE(YEAR(O$4),MONTH(O$4),1),ExpDocDate,"&lt;="&amp;O$4,ExpAccount,$A54))</f>
        <v>0</v>
      </c>
      <c r="P54" s="188">
        <f t="shared" ca="1" si="16"/>
        <v>0</v>
      </c>
    </row>
    <row r="55" spans="1:16" ht="15.95" customHeight="1" x14ac:dyDescent="0.3">
      <c r="A55" s="284" t="s">
        <v>182</v>
      </c>
      <c r="B55" s="12" t="str">
        <f ca="1">IF(RIGHT($A55,1)="G",IF(ISNA(VLOOKUP(LEFT($A55,LEN($A55)-1),GroupAll,COLUMN(Groups!$B$4),0)),"Group Not Found",VLOOKUP(LEFT($A55,LEN($A55)-1),GroupAll,COLUMN(Groups!$B$4),0)),IF(ISNA(VLOOKUP($A55,AccountAll,COLUMN(TB!$B$4),0)),"Account Not Found",VLOOKUP($A55,AccountAll,COLUMN(TB!$B$4),0)))</f>
        <v>Other Provisions</v>
      </c>
      <c r="C55" s="34" cm="1">
        <f t="array" aca="1" ref="C55" ca="1">IF(RIGHT($A55,1)="G",-SUMIF(AccountAll,LEFT($A55,5)&amp;"*",AccountOpen),-SUMIF(AccountAll,$A55,AccountOpen))</f>
        <v>0</v>
      </c>
      <c r="D55" s="34" cm="1">
        <f t="array" aca="1" ref="D55" ca="1">C55+IF(RIGHT($A55,1)="G",SUMIFS(IncExcl,IncDocDate,"&gt;="&amp;DATE(YEAR(D$4),MONTH(D$4),1),IncDocDate,"&lt;="&amp;D$4,IncAccount,LEFT($A55,5)&amp;"*")-SUMIFS(ExpExcl,ExpDocDate,"&gt;="&amp;DATE(YEAR(D$4),MONTH(D$4),1),ExpDocDate,"&lt;="&amp;D$4,ExpAccount,LEFT($A55,5)&amp;"*"),SUMIFS(IncExcl,IncDocDate,"&gt;="&amp;DATE(YEAR(D$4),MONTH(D$4),1),IncDocDate,"&lt;="&amp;D$4,IncAccount,$A55)-SUMIFS(ExpExcl,ExpDocDate,"&gt;="&amp;DATE(YEAR(D$4),MONTH(D$4),1),ExpDocDate,"&lt;="&amp;D$4,ExpAccount,$A55))</f>
        <v>0</v>
      </c>
      <c r="E55" s="34" cm="1">
        <f t="array" aca="1" ref="E55" ca="1">D55+IF(RIGHT($A55,1)="G",SUMIFS(IncExcl,IncDocDate,"&gt;="&amp;DATE(YEAR(E$4),MONTH(E$4),1),IncDocDate,"&lt;="&amp;E$4,IncAccount,LEFT($A55,5)&amp;"*")-SUMIFS(ExpExcl,ExpDocDate,"&gt;="&amp;DATE(YEAR(E$4),MONTH(E$4),1),ExpDocDate,"&lt;="&amp;E$4,ExpAccount,LEFT($A55,5)&amp;"*"),SUMIFS(IncExcl,IncDocDate,"&gt;="&amp;DATE(YEAR(E$4),MONTH(E$4),1),IncDocDate,"&lt;="&amp;E$4,IncAccount,$A55)-SUMIFS(ExpExcl,ExpDocDate,"&gt;="&amp;DATE(YEAR(E$4),MONTH(E$4),1),ExpDocDate,"&lt;="&amp;E$4,ExpAccount,$A55))</f>
        <v>0</v>
      </c>
      <c r="F55" s="34" cm="1">
        <f t="array" aca="1" ref="F55" ca="1">E55+IF(RIGHT($A55,1)="G",SUMIFS(IncExcl,IncDocDate,"&gt;="&amp;DATE(YEAR(F$4),MONTH(F$4),1),IncDocDate,"&lt;="&amp;F$4,IncAccount,LEFT($A55,5)&amp;"*")-SUMIFS(ExpExcl,ExpDocDate,"&gt;="&amp;DATE(YEAR(F$4),MONTH(F$4),1),ExpDocDate,"&lt;="&amp;F$4,ExpAccount,LEFT($A55,5)&amp;"*"),SUMIFS(IncExcl,IncDocDate,"&gt;="&amp;DATE(YEAR(F$4),MONTH(F$4),1),IncDocDate,"&lt;="&amp;F$4,IncAccount,$A55)-SUMIFS(ExpExcl,ExpDocDate,"&gt;="&amp;DATE(YEAR(F$4),MONTH(F$4),1),ExpDocDate,"&lt;="&amp;F$4,ExpAccount,$A55))</f>
        <v>0</v>
      </c>
      <c r="G55" s="34" cm="1">
        <f t="array" aca="1" ref="G55" ca="1">F55+IF(RIGHT($A55,1)="G",SUMIFS(IncExcl,IncDocDate,"&gt;="&amp;DATE(YEAR(G$4),MONTH(G$4),1),IncDocDate,"&lt;="&amp;G$4,IncAccount,LEFT($A55,5)&amp;"*")-SUMIFS(ExpExcl,ExpDocDate,"&gt;="&amp;DATE(YEAR(G$4),MONTH(G$4),1),ExpDocDate,"&lt;="&amp;G$4,ExpAccount,LEFT($A55,5)&amp;"*"),SUMIFS(IncExcl,IncDocDate,"&gt;="&amp;DATE(YEAR(G$4),MONTH(G$4),1),IncDocDate,"&lt;="&amp;G$4,IncAccount,$A55)-SUMIFS(ExpExcl,ExpDocDate,"&gt;="&amp;DATE(YEAR(G$4),MONTH(G$4),1),ExpDocDate,"&lt;="&amp;G$4,ExpAccount,$A55))</f>
        <v>0</v>
      </c>
      <c r="H55" s="34" cm="1">
        <f t="array" aca="1" ref="H55" ca="1">G55+IF(RIGHT($A55,1)="G",SUMIFS(IncExcl,IncDocDate,"&gt;="&amp;DATE(YEAR(H$4),MONTH(H$4),1),IncDocDate,"&lt;="&amp;H$4,IncAccount,LEFT($A55,5)&amp;"*")-SUMIFS(ExpExcl,ExpDocDate,"&gt;="&amp;DATE(YEAR(H$4),MONTH(H$4),1),ExpDocDate,"&lt;="&amp;H$4,ExpAccount,LEFT($A55,5)&amp;"*"),SUMIFS(IncExcl,IncDocDate,"&gt;="&amp;DATE(YEAR(H$4),MONTH(H$4),1),IncDocDate,"&lt;="&amp;H$4,IncAccount,$A55)-SUMIFS(ExpExcl,ExpDocDate,"&gt;="&amp;DATE(YEAR(H$4),MONTH(H$4),1),ExpDocDate,"&lt;="&amp;H$4,ExpAccount,$A55))</f>
        <v>0</v>
      </c>
      <c r="I55" s="34" cm="1">
        <f t="array" aca="1" ref="I55" ca="1">H55+IF(RIGHT($A55,1)="G",SUMIFS(IncExcl,IncDocDate,"&gt;="&amp;DATE(YEAR(I$4),MONTH(I$4),1),IncDocDate,"&lt;="&amp;I$4,IncAccount,LEFT($A55,5)&amp;"*")-SUMIFS(ExpExcl,ExpDocDate,"&gt;="&amp;DATE(YEAR(I$4),MONTH(I$4),1),ExpDocDate,"&lt;="&amp;I$4,ExpAccount,LEFT($A55,5)&amp;"*"),SUMIFS(IncExcl,IncDocDate,"&gt;="&amp;DATE(YEAR(I$4),MONTH(I$4),1),IncDocDate,"&lt;="&amp;I$4,IncAccount,$A55)-SUMIFS(ExpExcl,ExpDocDate,"&gt;="&amp;DATE(YEAR(I$4),MONTH(I$4),1),ExpDocDate,"&lt;="&amp;I$4,ExpAccount,$A55))</f>
        <v>0</v>
      </c>
      <c r="J55" s="34" cm="1">
        <f t="array" aca="1" ref="J55" ca="1">I55+IF(RIGHT($A55,1)="G",SUMIFS(IncExcl,IncDocDate,"&gt;="&amp;DATE(YEAR(J$4),MONTH(J$4),1),IncDocDate,"&lt;="&amp;J$4,IncAccount,LEFT($A55,5)&amp;"*")-SUMIFS(ExpExcl,ExpDocDate,"&gt;="&amp;DATE(YEAR(J$4),MONTH(J$4),1),ExpDocDate,"&lt;="&amp;J$4,ExpAccount,LEFT($A55,5)&amp;"*"),SUMIFS(IncExcl,IncDocDate,"&gt;="&amp;DATE(YEAR(J$4),MONTH(J$4),1),IncDocDate,"&lt;="&amp;J$4,IncAccount,$A55)-SUMIFS(ExpExcl,ExpDocDate,"&gt;="&amp;DATE(YEAR(J$4),MONTH(J$4),1),ExpDocDate,"&lt;="&amp;J$4,ExpAccount,$A55))</f>
        <v>0</v>
      </c>
      <c r="K55" s="34" cm="1">
        <f t="array" aca="1" ref="K55" ca="1">J55+IF(RIGHT($A55,1)="G",SUMIFS(IncExcl,IncDocDate,"&gt;="&amp;DATE(YEAR(K$4),MONTH(K$4),1),IncDocDate,"&lt;="&amp;K$4,IncAccount,LEFT($A55,5)&amp;"*")-SUMIFS(ExpExcl,ExpDocDate,"&gt;="&amp;DATE(YEAR(K$4),MONTH(K$4),1),ExpDocDate,"&lt;="&amp;K$4,ExpAccount,LEFT($A55,5)&amp;"*"),SUMIFS(IncExcl,IncDocDate,"&gt;="&amp;DATE(YEAR(K$4),MONTH(K$4),1),IncDocDate,"&lt;="&amp;K$4,IncAccount,$A55)-SUMIFS(ExpExcl,ExpDocDate,"&gt;="&amp;DATE(YEAR(K$4),MONTH(K$4),1),ExpDocDate,"&lt;="&amp;K$4,ExpAccount,$A55))</f>
        <v>0</v>
      </c>
      <c r="L55" s="34" cm="1">
        <f t="array" aca="1" ref="L55" ca="1">K55+IF(RIGHT($A55,1)="G",SUMIFS(IncExcl,IncDocDate,"&gt;="&amp;DATE(YEAR(L$4),MONTH(L$4),1),IncDocDate,"&lt;="&amp;L$4,IncAccount,LEFT($A55,5)&amp;"*")-SUMIFS(ExpExcl,ExpDocDate,"&gt;="&amp;DATE(YEAR(L$4),MONTH(L$4),1),ExpDocDate,"&lt;="&amp;L$4,ExpAccount,LEFT($A55,5)&amp;"*"),SUMIFS(IncExcl,IncDocDate,"&gt;="&amp;DATE(YEAR(L$4),MONTH(L$4),1),IncDocDate,"&lt;="&amp;L$4,IncAccount,$A55)-SUMIFS(ExpExcl,ExpDocDate,"&gt;="&amp;DATE(YEAR(L$4),MONTH(L$4),1),ExpDocDate,"&lt;="&amp;L$4,ExpAccount,$A55))</f>
        <v>0</v>
      </c>
      <c r="M55" s="34" cm="1">
        <f t="array" aca="1" ref="M55" ca="1">L55+IF(RIGHT($A55,1)="G",SUMIFS(IncExcl,IncDocDate,"&gt;="&amp;DATE(YEAR(M$4),MONTH(M$4),1),IncDocDate,"&lt;="&amp;M$4,IncAccount,LEFT($A55,5)&amp;"*")-SUMIFS(ExpExcl,ExpDocDate,"&gt;="&amp;DATE(YEAR(M$4),MONTH(M$4),1),ExpDocDate,"&lt;="&amp;M$4,ExpAccount,LEFT($A55,5)&amp;"*"),SUMIFS(IncExcl,IncDocDate,"&gt;="&amp;DATE(YEAR(M$4),MONTH(M$4),1),IncDocDate,"&lt;="&amp;M$4,IncAccount,$A55)-SUMIFS(ExpExcl,ExpDocDate,"&gt;="&amp;DATE(YEAR(M$4),MONTH(M$4),1),ExpDocDate,"&lt;="&amp;M$4,ExpAccount,$A55))</f>
        <v>0</v>
      </c>
      <c r="N55" s="34" cm="1">
        <f t="array" aca="1" ref="N55" ca="1">M55+IF(RIGHT($A55,1)="G",SUMIFS(IncExcl,IncDocDate,"&gt;="&amp;DATE(YEAR(N$4),MONTH(N$4),1),IncDocDate,"&lt;="&amp;N$4,IncAccount,LEFT($A55,5)&amp;"*")-SUMIFS(ExpExcl,ExpDocDate,"&gt;="&amp;DATE(YEAR(N$4),MONTH(N$4),1),ExpDocDate,"&lt;="&amp;N$4,ExpAccount,LEFT($A55,5)&amp;"*"),SUMIFS(IncExcl,IncDocDate,"&gt;="&amp;DATE(YEAR(N$4),MONTH(N$4),1),IncDocDate,"&lt;="&amp;N$4,IncAccount,$A55)-SUMIFS(ExpExcl,ExpDocDate,"&gt;="&amp;DATE(YEAR(N$4),MONTH(N$4),1),ExpDocDate,"&lt;="&amp;N$4,ExpAccount,$A55))</f>
        <v>0</v>
      </c>
      <c r="O55" s="34" cm="1">
        <f t="array" aca="1" ref="O55" ca="1">N55+IF(RIGHT($A55,1)="G",SUMIFS(IncExcl,IncDocDate,"&gt;="&amp;DATE(YEAR(O$4),MONTH(O$4),1),IncDocDate,"&lt;="&amp;O$4,IncAccount,LEFT($A55,5)&amp;"*")-SUMIFS(ExpExcl,ExpDocDate,"&gt;="&amp;DATE(YEAR(O$4),MONTH(O$4),1),ExpDocDate,"&lt;="&amp;O$4,ExpAccount,LEFT($A55,5)&amp;"*"),SUMIFS(IncExcl,IncDocDate,"&gt;="&amp;DATE(YEAR(O$4),MONTH(O$4),1),IncDocDate,"&lt;="&amp;O$4,IncAccount,$A55)-SUMIFS(ExpExcl,ExpDocDate,"&gt;="&amp;DATE(YEAR(O$4),MONTH(O$4),1),ExpDocDate,"&lt;="&amp;O$4,ExpAccount,$A55))</f>
        <v>0</v>
      </c>
      <c r="P55" s="188">
        <f t="shared" ca="1" si="16"/>
        <v>0</v>
      </c>
    </row>
    <row r="56" spans="1:16" ht="15.95" customHeight="1" thickBot="1" x14ac:dyDescent="0.35">
      <c r="C56" s="212">
        <f ca="1">SUM(C49:C55)</f>
        <v>0</v>
      </c>
      <c r="D56" s="212">
        <f t="shared" ref="D56:P56" ca="1" si="18">SUM(D49:D55)</f>
        <v>15238953.365285056</v>
      </c>
      <c r="E56" s="212">
        <f t="shared" ca="1" si="18"/>
        <v>17078249.241556242</v>
      </c>
      <c r="F56" s="212">
        <f t="shared" ca="1" si="18"/>
        <v>17078249.241556242</v>
      </c>
      <c r="G56" s="212">
        <f t="shared" ca="1" si="18"/>
        <v>17078249.241556242</v>
      </c>
      <c r="H56" s="212">
        <f t="shared" ca="1" si="18"/>
        <v>17078249.241556242</v>
      </c>
      <c r="I56" s="212">
        <f t="shared" ca="1" si="18"/>
        <v>17078249.241556242</v>
      </c>
      <c r="J56" s="212">
        <f t="shared" ca="1" si="18"/>
        <v>17078249.241556242</v>
      </c>
      <c r="K56" s="212">
        <f t="shared" ca="1" si="18"/>
        <v>17078249.241556242</v>
      </c>
      <c r="L56" s="212">
        <f t="shared" ca="1" si="18"/>
        <v>17078249.241556242</v>
      </c>
      <c r="M56" s="212">
        <f t="shared" ca="1" si="18"/>
        <v>17078249.241556242</v>
      </c>
      <c r="N56" s="212">
        <f t="shared" ca="1" si="18"/>
        <v>17078249.241556242</v>
      </c>
      <c r="O56" s="212">
        <f t="shared" ca="1" si="18"/>
        <v>17078249.241556242</v>
      </c>
      <c r="P56" s="213">
        <f t="shared" ca="1" si="18"/>
        <v>17078249.241556242</v>
      </c>
    </row>
    <row r="57" spans="1:16" s="3" customFormat="1" ht="15.95" customHeight="1" thickBot="1" x14ac:dyDescent="0.3">
      <c r="A57" s="287"/>
      <c r="B57" s="56" t="s">
        <v>42</v>
      </c>
      <c r="C57" s="211">
        <f t="shared" ref="C57:P57" ca="1" si="19">SUM(C44,C47,C56)</f>
        <v>19756567.199999999</v>
      </c>
      <c r="D57" s="211">
        <f t="shared" ca="1" si="19"/>
        <v>116744310.78</v>
      </c>
      <c r="E57" s="211">
        <f t="shared" ca="1" si="19"/>
        <v>128801917.08</v>
      </c>
      <c r="F57" s="211">
        <f t="shared" ca="1" si="19"/>
        <v>128801917.08</v>
      </c>
      <c r="G57" s="211">
        <f t="shared" ca="1" si="19"/>
        <v>128801917.08</v>
      </c>
      <c r="H57" s="211">
        <f t="shared" ca="1" si="19"/>
        <v>128801917.08</v>
      </c>
      <c r="I57" s="211">
        <f t="shared" ca="1" si="19"/>
        <v>128801917.08</v>
      </c>
      <c r="J57" s="211">
        <f t="shared" ca="1" si="19"/>
        <v>128801917.08</v>
      </c>
      <c r="K57" s="211">
        <f t="shared" ca="1" si="19"/>
        <v>128801917.08</v>
      </c>
      <c r="L57" s="211">
        <f t="shared" ca="1" si="19"/>
        <v>128801917.08</v>
      </c>
      <c r="M57" s="211">
        <f t="shared" ca="1" si="19"/>
        <v>128801917.08</v>
      </c>
      <c r="N57" s="211">
        <f t="shared" ca="1" si="19"/>
        <v>128801917.08</v>
      </c>
      <c r="O57" s="211">
        <f t="shared" ca="1" si="19"/>
        <v>128801917.08</v>
      </c>
      <c r="P57" s="211">
        <f t="shared" ca="1" si="19"/>
        <v>128801917.08</v>
      </c>
    </row>
    <row r="58" spans="1:16" s="216" customFormat="1" ht="15.95" customHeight="1" thickTop="1" x14ac:dyDescent="0.3">
      <c r="A58" s="288"/>
      <c r="B58" s="215"/>
      <c r="C58" s="216">
        <f t="shared" ref="C58:O58" ca="1" si="20">IF(ROUND(C37-C57,2)&lt;&gt;0=TRUE,ROUND(C37-C57,2),"")</f>
        <v>4371092.05</v>
      </c>
      <c r="D58" s="216">
        <f t="shared" ca="1" si="20"/>
        <v>3895985.92</v>
      </c>
      <c r="E58" s="216">
        <f t="shared" ca="1" si="20"/>
        <v>3895985.92</v>
      </c>
      <c r="F58" s="216">
        <f t="shared" ca="1" si="20"/>
        <v>3895985.92</v>
      </c>
      <c r="G58" s="216">
        <f t="shared" ca="1" si="20"/>
        <v>3895985.92</v>
      </c>
      <c r="H58" s="216">
        <f t="shared" ca="1" si="20"/>
        <v>3895985.92</v>
      </c>
      <c r="I58" s="216">
        <f t="shared" ca="1" si="20"/>
        <v>3895985.92</v>
      </c>
      <c r="J58" s="216">
        <f t="shared" ca="1" si="20"/>
        <v>3895985.92</v>
      </c>
      <c r="K58" s="216">
        <f t="shared" ca="1" si="20"/>
        <v>3895985.92</v>
      </c>
      <c r="L58" s="216">
        <f t="shared" ca="1" si="20"/>
        <v>3895985.92</v>
      </c>
      <c r="M58" s="216">
        <f t="shared" ca="1" si="20"/>
        <v>3895985.92</v>
      </c>
      <c r="N58" s="216">
        <f t="shared" ca="1" si="20"/>
        <v>3895985.92</v>
      </c>
      <c r="O58" s="216">
        <f t="shared" ca="1" si="20"/>
        <v>3895985.92</v>
      </c>
      <c r="P58" s="217"/>
    </row>
    <row r="59" spans="1:16" s="221" customFormat="1" ht="15.95" customHeight="1" x14ac:dyDescent="0.3">
      <c r="A59" s="284"/>
      <c r="B59" s="218" t="s">
        <v>289</v>
      </c>
      <c r="C59" s="219" t="str">
        <f t="shared" ref="C59:O59" ca="1" si="21">IF(ROUND(C37-C57,2)&lt;&gt;0=TRUE,"error","ok")</f>
        <v>error</v>
      </c>
      <c r="D59" s="219" t="str">
        <f t="shared" ca="1" si="21"/>
        <v>error</v>
      </c>
      <c r="E59" s="219" t="str">
        <f t="shared" ca="1" si="21"/>
        <v>error</v>
      </c>
      <c r="F59" s="219" t="str">
        <f t="shared" ca="1" si="21"/>
        <v>error</v>
      </c>
      <c r="G59" s="219" t="str">
        <f t="shared" ca="1" si="21"/>
        <v>error</v>
      </c>
      <c r="H59" s="219" t="str">
        <f t="shared" ca="1" si="21"/>
        <v>error</v>
      </c>
      <c r="I59" s="219" t="str">
        <f t="shared" ca="1" si="21"/>
        <v>error</v>
      </c>
      <c r="J59" s="219" t="str">
        <f t="shared" ca="1" si="21"/>
        <v>error</v>
      </c>
      <c r="K59" s="219" t="str">
        <f t="shared" ca="1" si="21"/>
        <v>error</v>
      </c>
      <c r="L59" s="219" t="str">
        <f t="shared" ca="1" si="21"/>
        <v>error</v>
      </c>
      <c r="M59" s="219" t="str">
        <f t="shared" ca="1" si="21"/>
        <v>error</v>
      </c>
      <c r="N59" s="219" t="str">
        <f t="shared" ca="1" si="21"/>
        <v>error</v>
      </c>
      <c r="O59" s="219" t="str">
        <f t="shared" ca="1" si="21"/>
        <v>error</v>
      </c>
      <c r="P59" s="220"/>
    </row>
    <row r="60" spans="1:16" s="221" customFormat="1" ht="15.95" customHeight="1" x14ac:dyDescent="0.3">
      <c r="A60" s="284"/>
      <c r="B60" s="218" t="s">
        <v>288</v>
      </c>
      <c r="C60" s="219"/>
      <c r="D60" s="219" t="str">
        <f ca="1">IF(ROUND(SUM(D17:D34)-CFS!C39,2)=0=TRUE,"ok","error")</f>
        <v>error</v>
      </c>
      <c r="E60" s="219" t="str">
        <f ca="1">IF(ROUND(SUM(E17:E34)-CFS!D39,2)=0=TRUE,"ok","error")</f>
        <v>error</v>
      </c>
      <c r="F60" s="219" t="str">
        <f ca="1">IF(ROUND(SUM(F17:F34)-CFS!E39,2)=0=TRUE,"ok","error")</f>
        <v>error</v>
      </c>
      <c r="G60" s="219" t="str">
        <f ca="1">IF(ROUND(SUM(G17:G34)-CFS!F39,2)=0=TRUE,"ok","error")</f>
        <v>error</v>
      </c>
      <c r="H60" s="219" t="str">
        <f ca="1">IF(ROUND(SUM(H17:H34)-CFS!G39,2)=0=TRUE,"ok","error")</f>
        <v>error</v>
      </c>
      <c r="I60" s="219" t="str">
        <f ca="1">IF(ROUND(SUM(I17:I34)-CFS!H39,2)=0=TRUE,"ok","error")</f>
        <v>error</v>
      </c>
      <c r="J60" s="219" t="str">
        <f ca="1">IF(ROUND(SUM(J17:J34)-CFS!I39,2)=0=TRUE,"ok","error")</f>
        <v>error</v>
      </c>
      <c r="K60" s="219" t="str">
        <f ca="1">IF(ROUND(SUM(K17:K34)-CFS!J39,2)=0=TRUE,"ok","error")</f>
        <v>error</v>
      </c>
      <c r="L60" s="219" t="str">
        <f ca="1">IF(ROUND(SUM(L17:L34)-CFS!K39,2)=0=TRUE,"ok","error")</f>
        <v>error</v>
      </c>
      <c r="M60" s="219" t="str">
        <f ca="1">IF(ROUND(SUM(M17:M34)-CFS!L39,2)=0=TRUE,"ok","error")</f>
        <v>error</v>
      </c>
      <c r="N60" s="219" t="str">
        <f ca="1">IF(ROUND(SUM(N17:N34)-CFS!M39,2)=0=TRUE,"ok","error")</f>
        <v>error</v>
      </c>
      <c r="O60" s="219" t="str">
        <f ca="1">IF(ROUND(SUM(O17:O34)-CFS!N39,2)=0=TRUE,"ok","error")</f>
        <v>error</v>
      </c>
      <c r="P60" s="220"/>
    </row>
    <row r="61" spans="1:16" s="216" customFormat="1" ht="15.95" customHeight="1" x14ac:dyDescent="0.3">
      <c r="A61" s="288"/>
      <c r="B61" s="215"/>
      <c r="D61" s="216">
        <f ca="1">IF(ROUND(SUM(D17:D34)-CFS!C39,2)&lt;&gt;0,ROUND(SUM(D17:D34)-CFS!C39,2),"")</f>
        <v>-475106.13</v>
      </c>
      <c r="E61" s="216">
        <f ca="1">IF(ROUND(SUM(E17:E34)-CFS!D39,2)&lt;&gt;0,ROUND(SUM(E17:E34)-CFS!D39,2),"")</f>
        <v>-475106.13</v>
      </c>
      <c r="F61" s="216">
        <f ca="1">IF(ROUND(SUM(F17:F34)-CFS!E39,2)&lt;&gt;0,ROUND(SUM(F17:F34)-CFS!E39,2),"")</f>
        <v>-475106.13</v>
      </c>
      <c r="G61" s="216">
        <f ca="1">IF(ROUND(SUM(G17:G34)-CFS!F39,2)&lt;&gt;0,ROUND(SUM(G17:G34)-CFS!F39,2),"")</f>
        <v>-475106.13</v>
      </c>
      <c r="H61" s="216">
        <f ca="1">IF(ROUND(SUM(H17:H34)-CFS!G39,2)&lt;&gt;0,ROUND(SUM(H17:H34)-CFS!G39,2),"")</f>
        <v>-475106.13</v>
      </c>
      <c r="I61" s="216">
        <f ca="1">IF(ROUND(SUM(I17:I34)-CFS!H39,2)&lt;&gt;0,ROUND(SUM(I17:I34)-CFS!H39,2),"")</f>
        <v>-475106.13</v>
      </c>
      <c r="J61" s="216">
        <f ca="1">IF(ROUND(SUM(J17:J34)-CFS!I39,2)&lt;&gt;0,ROUND(SUM(J17:J34)-CFS!I39,2),"")</f>
        <v>-475106.13</v>
      </c>
      <c r="K61" s="216">
        <f ca="1">IF(ROUND(SUM(K17:K34)-CFS!J39,2)&lt;&gt;0,ROUND(SUM(K17:K34)-CFS!J39,2),"")</f>
        <v>-475106.13</v>
      </c>
      <c r="L61" s="216">
        <f ca="1">IF(ROUND(SUM(L17:L34)-CFS!K39,2)&lt;&gt;0,ROUND(SUM(L17:L34)-CFS!K39,2),"")</f>
        <v>-475106.13</v>
      </c>
      <c r="M61" s="216">
        <f ca="1">IF(ROUND(SUM(M17:M34)-CFS!L39,2)&lt;&gt;0,ROUND(SUM(M17:M34)-CFS!L39,2),"")</f>
        <v>-475106.13</v>
      </c>
      <c r="N61" s="216">
        <f ca="1">IF(ROUND(SUM(N17:N34)-CFS!M39,2)&lt;&gt;0,ROUND(SUM(N17:N34)-CFS!M39,2),"")</f>
        <v>-475106.13</v>
      </c>
      <c r="O61" s="216">
        <f ca="1">IF(ROUND(SUM(O17:O34)-CFS!N39,2)&lt;&gt;0,ROUND(SUM(O17:O34)-CFS!N39,2),"")</f>
        <v>-475106.13</v>
      </c>
      <c r="P61" s="217"/>
    </row>
    <row r="62" spans="1:16" ht="15.95" customHeight="1" x14ac:dyDescent="0.3">
      <c r="D62" s="131"/>
      <c r="E62" s="131"/>
      <c r="F62" s="131"/>
      <c r="G62" s="131"/>
      <c r="H62" s="131"/>
      <c r="I62" s="131"/>
      <c r="J62" s="131"/>
      <c r="K62" s="131"/>
      <c r="L62" s="131"/>
      <c r="M62" s="131"/>
      <c r="N62" s="131"/>
      <c r="O62" s="131"/>
      <c r="P62" s="205"/>
    </row>
    <row r="63" spans="1:16" ht="15.95" customHeight="1" x14ac:dyDescent="0.3">
      <c r="D63" s="222"/>
    </row>
  </sheetData>
  <sheetProtection formatCells="0" formatColumns="0" formatRows="0"/>
  <phoneticPr fontId="2" type="noConversion"/>
  <conditionalFormatting sqref="C59:O60">
    <cfRule type="cellIs" dxfId="0" priority="3" stopIfTrue="1" operator="equal">
      <formula>"error"</formula>
    </cfRule>
  </conditionalFormatting>
  <pageMargins left="0.59055118110236227" right="0.59055118110236227" top="0.59055118110236227" bottom="0.59055118110236227" header="0.39370078740157483" footer="0.39370078740157483"/>
  <pageSetup paperSize="9" scale="55" orientation="landscape"/>
  <headerFooter alignWithMargins="0">
    <oddFooter>Page &amp;P of &amp;N</oddFooter>
  </headerFooter>
  <colBreaks count="1" manualBreakCount="1">
    <brk id="12" max="1048575" man="1"/>
  </colBreaks>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K39"/>
  <sheetViews>
    <sheetView zoomScale="95" zoomScaleNormal="95" workbookViewId="0">
      <pane ySplit="8" topLeftCell="A9" activePane="bottomLeft" state="frozen"/>
      <selection pane="bottomLeft" activeCell="C3" sqref="C3"/>
    </sheetView>
  </sheetViews>
  <sheetFormatPr defaultColWidth="9.140625" defaultRowHeight="15.95" customHeight="1" x14ac:dyDescent="0.25"/>
  <cols>
    <col min="1" max="1" width="15.85546875" style="181" customWidth="1"/>
    <col min="2" max="3" width="15.85546875" style="34" customWidth="1"/>
    <col min="4" max="5" width="15.85546875" style="4" customWidth="1"/>
    <col min="6" max="6" width="5.5703125" style="4" customWidth="1"/>
    <col min="7" max="7" width="15.85546875" style="224" customWidth="1"/>
    <col min="8" max="11" width="15.85546875" style="34" customWidth="1"/>
    <col min="12" max="16384" width="9.140625" style="4"/>
  </cols>
  <sheetData>
    <row r="1" spans="1:11" ht="15.95" customHeight="1" x14ac:dyDescent="0.25">
      <c r="A1" s="272" t="str">
        <f>IF(ISBLANK(Setup!$C$5),"Example Limited",Setup!$C$5)</f>
        <v>Nasia Consult Co. Limited</v>
      </c>
    </row>
    <row r="2" spans="1:11" ht="15.95" customHeight="1" x14ac:dyDescent="0.25">
      <c r="A2" s="177" t="s">
        <v>55</v>
      </c>
    </row>
    <row r="3" spans="1:11" ht="15.95" customHeight="1" x14ac:dyDescent="0.25">
      <c r="A3" s="225" t="s">
        <v>244</v>
      </c>
    </row>
    <row r="4" spans="1:11" s="34" customFormat="1" ht="15.95" customHeight="1" x14ac:dyDescent="0.25">
      <c r="A4" s="111" t="s">
        <v>70</v>
      </c>
      <c r="B4" s="226" t="s">
        <v>57</v>
      </c>
      <c r="C4" s="227" t="str">
        <f>IF(ISBLANK(B4),"&lt;&gt;JC",B4)</f>
        <v>B1</v>
      </c>
      <c r="G4" s="224"/>
    </row>
    <row r="5" spans="1:11" ht="15.95" customHeight="1" x14ac:dyDescent="0.25">
      <c r="A5" s="223" t="s">
        <v>314</v>
      </c>
      <c r="B5" s="228">
        <v>45322</v>
      </c>
      <c r="C5" s="37">
        <f>IF(ISBLANK(B5),IS!$N$4,B5)</f>
        <v>45322</v>
      </c>
    </row>
    <row r="7" spans="1:11" s="229" customFormat="1" ht="18" customHeight="1" x14ac:dyDescent="0.25">
      <c r="A7" s="362" t="s">
        <v>337</v>
      </c>
      <c r="B7" s="363"/>
      <c r="C7" s="363"/>
      <c r="D7" s="363"/>
      <c r="E7" s="364"/>
      <c r="G7" s="362" t="s">
        <v>338</v>
      </c>
      <c r="H7" s="363"/>
      <c r="I7" s="363"/>
      <c r="J7" s="363"/>
      <c r="K7" s="364"/>
    </row>
    <row r="8" spans="1:11" s="3" customFormat="1" ht="18" customHeight="1" x14ac:dyDescent="0.2">
      <c r="A8" s="230" t="s">
        <v>315</v>
      </c>
      <c r="B8" s="231" t="s">
        <v>318</v>
      </c>
      <c r="C8" s="231" t="s">
        <v>316</v>
      </c>
      <c r="D8" s="232" t="s">
        <v>317</v>
      </c>
      <c r="E8" s="232" t="s">
        <v>319</v>
      </c>
      <c r="G8" s="233" t="s">
        <v>314</v>
      </c>
      <c r="H8" s="231" t="s">
        <v>318</v>
      </c>
      <c r="I8" s="231" t="s">
        <v>316</v>
      </c>
      <c r="J8" s="231" t="s">
        <v>317</v>
      </c>
      <c r="K8" s="231" t="s">
        <v>319</v>
      </c>
    </row>
    <row r="9" spans="1:11" ht="15.95" customHeight="1" x14ac:dyDescent="0.25">
      <c r="A9" s="181">
        <f>DATE(YEAR($C$5),MONTH($C$5),1)</f>
        <v>45292</v>
      </c>
      <c r="B9" s="34">
        <f>SUMIFS(IncPayAmount,IncPayDate,"&lt;"&amp;$A9,IncPayDate,"&lt;&gt;""",IncBank,$C$4)-SUMIFS(ExpIncl,ExpPayDate,"&lt;"&amp;$A9,ExpPayDate,"&lt;&gt;""",ExpBank,$C$4)</f>
        <v>4248291.34</v>
      </c>
      <c r="C9" s="34" cm="1">
        <f t="array" ref="C9">IF(A9="","",SUMIFS(IncPayAmount,IncPayDate,$A9,IncPayDate,"&lt;&gt;""",IncBank,$C$4)-SUMIFS(ExpIncl,ExpPayDate,$A9,ExpPayDate,"&lt;&gt;""",ExpBank,$C$4,ExpIncl,"&lt;0"))</f>
        <v>0</v>
      </c>
      <c r="D9" s="34" cm="1">
        <f t="array" ref="D9">IF(A9="","",-SUMIFS(ExpIncl,ExpPayDate,$A9,ExpPayDate,"&lt;&gt;""",ExpBank,$C$4,ExpIncl,"&gt;0"))</f>
        <v>0</v>
      </c>
      <c r="E9" s="234">
        <f>IF(A9="","",SUM(B9:D9))</f>
        <v>4248291.34</v>
      </c>
      <c r="G9" s="235">
        <f ca="1">OFFSET(IS!$B$4,0,ROW($A9)-ROW($A$8),1,1)</f>
        <v>45322</v>
      </c>
      <c r="H9" s="236">
        <f ca="1">SUMIFS(IncPayAmount,IncPayDate,"&lt;"&amp;DATE(YEAR($G9),MONTH($G9),1),IncPayDate,"&lt;&gt;""",IncBank,$C$4)-SUMIFS(ExpIncl,ExpPayDate,"&lt;"&amp;DATE(YEAR($G9),MONTH($G9),1),ExpPayDate,"&lt;&gt;""",ExpBank,$C$4)</f>
        <v>4248291.34</v>
      </c>
      <c r="I9" s="236">
        <f t="shared" ref="I9:I20" ca="1" si="0">SUMIFS(IncPayAmount,IncPayDate,"&gt;="&amp;DATE(YEAR($G9),MONTH($G9),1),IncPayDate,"&lt;="&amp;$G9,IncBank,$C$4)-SUMIFS(ExpIncl,ExpPayDate,"&gt;="&amp;DATE(YEAR($G9),MONTH($G9),1),ExpPayDate,"&lt;="&amp;$G9,ExpBank,$C$4,ExpIncl,"&lt;0")</f>
        <v>3599035.63</v>
      </c>
      <c r="J9" s="236">
        <f t="shared" ref="J9:J20" ca="1" si="1">-SUMIFS(ExpIncl,ExpPayDate,"&gt;="&amp;DATE(YEAR($G9),MONTH($G9),1),ExpPayDate,"&lt;="&amp;$G9,ExpBank,$C$4,ExpIncl,"&gt;0")</f>
        <v>-4740020.55</v>
      </c>
      <c r="K9" s="237">
        <f ca="1">SUM(H9:J9)</f>
        <v>3107306.42</v>
      </c>
    </row>
    <row r="10" spans="1:11" ht="15.95" customHeight="1" x14ac:dyDescent="0.25">
      <c r="A10" s="181">
        <f>IF(A9="","",IF(A9+1&gt;DATE(YEAR($C$5),MONTH($C$5)+1,0),"",A9+1))</f>
        <v>45293</v>
      </c>
      <c r="B10" s="34">
        <f>IF(A10="","",E9)</f>
        <v>4248291.34</v>
      </c>
      <c r="C10" s="34" cm="1">
        <f t="array" ref="C10">IF(A10="","",SUMIFS(IncPayAmount,IncPayDate,$A10,IncPayDate,"&lt;&gt;""",IncBank,$C$4)-SUMIFS(ExpIncl,ExpPayDate,$A10,ExpPayDate,"&lt;&gt;""",ExpBank,$C$4,ExpIncl,"&lt;0"))</f>
        <v>0</v>
      </c>
      <c r="D10" s="34" cm="1">
        <f t="array" ref="D10">IF(A10="","",-SUMIFS(ExpIncl,ExpPayDate,$A10,ExpPayDate,"&lt;&gt;""",ExpBank,$C$4,ExpIncl,"&gt;0"))</f>
        <v>0</v>
      </c>
      <c r="E10" s="234">
        <f t="shared" ref="E10:E39" si="2">IF(A10="","",SUM(B10:D10))</f>
        <v>4248291.34</v>
      </c>
      <c r="G10" s="238">
        <f ca="1">OFFSET(IS!$B$4,0,ROW($A10)-ROW($A$8),1,1)</f>
        <v>45351</v>
      </c>
      <c r="H10" s="189">
        <f ca="1">K9</f>
        <v>3107306.42</v>
      </c>
      <c r="I10" s="189">
        <f t="shared" ca="1" si="0"/>
        <v>0</v>
      </c>
      <c r="J10" s="189">
        <f t="shared" ca="1" si="1"/>
        <v>0</v>
      </c>
      <c r="K10" s="239">
        <f t="shared" ref="K10:K20" ca="1" si="3">SUM(H10:J10)</f>
        <v>3107306.42</v>
      </c>
    </row>
    <row r="11" spans="1:11" ht="15.95" customHeight="1" x14ac:dyDescent="0.25">
      <c r="A11" s="181">
        <f t="shared" ref="A11:A39" si="4">IF(A10="","",IF(A10+1&gt;DATE(YEAR($C$5),MONTH($C$5)+1,0),"",A10+1))</f>
        <v>45294</v>
      </c>
      <c r="B11" s="34">
        <f t="shared" ref="B11:B39" si="5">IF(A11="","",E10)</f>
        <v>4248291.34</v>
      </c>
      <c r="C11" s="34" cm="1">
        <f t="array" ref="C11">IF(A11="","",SUMIFS(IncPayAmount,IncPayDate,$A11,IncPayDate,"&lt;&gt;""",IncBank,$C$4)-SUMIFS(ExpIncl,ExpPayDate,$A11,ExpPayDate,"&lt;&gt;""",ExpBank,$C$4,ExpIncl,"&lt;0"))</f>
        <v>0</v>
      </c>
      <c r="D11" s="34" cm="1">
        <f t="array" ref="D11">IF(A11="","",-SUMIFS(ExpIncl,ExpPayDate,$A11,ExpPayDate,"&lt;&gt;""",ExpBank,$C$4,ExpIncl,"&gt;0"))</f>
        <v>0</v>
      </c>
      <c r="E11" s="234">
        <f t="shared" si="2"/>
        <v>4248291.34</v>
      </c>
      <c r="G11" s="238">
        <f ca="1">OFFSET(IS!$B$4,0,ROW($A11)-ROW($A$8),1,1)</f>
        <v>45382</v>
      </c>
      <c r="H11" s="189">
        <f t="shared" ref="H11:H20" ca="1" si="6">K10</f>
        <v>3107306.42</v>
      </c>
      <c r="I11" s="189">
        <f t="shared" ca="1" si="0"/>
        <v>0</v>
      </c>
      <c r="J11" s="189">
        <f t="shared" ca="1" si="1"/>
        <v>0</v>
      </c>
      <c r="K11" s="239">
        <f t="shared" ca="1" si="3"/>
        <v>3107306.42</v>
      </c>
    </row>
    <row r="12" spans="1:11" ht="15.95" customHeight="1" x14ac:dyDescent="0.25">
      <c r="A12" s="181">
        <f t="shared" si="4"/>
        <v>45295</v>
      </c>
      <c r="B12" s="34">
        <f t="shared" si="5"/>
        <v>4248291.34</v>
      </c>
      <c r="C12" s="34" cm="1">
        <f t="array" ref="C12">IF(A12="","",SUMIFS(IncPayAmount,IncPayDate,$A12,IncPayDate,"&lt;&gt;""",IncBank,$C$4)-SUMIFS(ExpIncl,ExpPayDate,$A12,ExpPayDate,"&lt;&gt;""",ExpBank,$C$4,ExpIncl,"&lt;0"))</f>
        <v>0</v>
      </c>
      <c r="D12" s="34" cm="1">
        <f t="array" ref="D12">IF(A12="","",-SUMIFS(ExpIncl,ExpPayDate,$A12,ExpPayDate,"&lt;&gt;""",ExpBank,$C$4,ExpIncl,"&gt;0"))</f>
        <v>-3962764.55</v>
      </c>
      <c r="E12" s="234">
        <f t="shared" si="2"/>
        <v>285526.79000000004</v>
      </c>
      <c r="G12" s="238">
        <f ca="1">OFFSET(IS!$B$4,0,ROW($A12)-ROW($A$8),1,1)</f>
        <v>45412</v>
      </c>
      <c r="H12" s="189">
        <f t="shared" ca="1" si="6"/>
        <v>3107306.42</v>
      </c>
      <c r="I12" s="189">
        <f t="shared" ca="1" si="0"/>
        <v>0</v>
      </c>
      <c r="J12" s="189">
        <f t="shared" ca="1" si="1"/>
        <v>0</v>
      </c>
      <c r="K12" s="239">
        <f t="shared" ca="1" si="3"/>
        <v>3107306.42</v>
      </c>
    </row>
    <row r="13" spans="1:11" ht="15.95" customHeight="1" x14ac:dyDescent="0.25">
      <c r="A13" s="181">
        <f t="shared" si="4"/>
        <v>45296</v>
      </c>
      <c r="B13" s="34">
        <f t="shared" si="5"/>
        <v>285526.79000000004</v>
      </c>
      <c r="C13" s="34" cm="1">
        <f t="array" ref="C13">IF(A13="","",SUMIFS(IncPayAmount,IncPayDate,$A13,IncPayDate,"&lt;&gt;""",IncBank,$C$4)-SUMIFS(ExpIncl,ExpPayDate,$A13,ExpPayDate,"&lt;&gt;""",ExpBank,$C$4,ExpIncl,"&lt;0"))</f>
        <v>0</v>
      </c>
      <c r="D13" s="34" cm="1">
        <f t="array" ref="D13">IF(A13="","",-SUMIFS(ExpIncl,ExpPayDate,$A13,ExpPayDate,"&lt;&gt;""",ExpBank,$C$4,ExpIncl,"&gt;0"))</f>
        <v>0</v>
      </c>
      <c r="E13" s="234">
        <f t="shared" si="2"/>
        <v>285526.79000000004</v>
      </c>
      <c r="G13" s="238">
        <f ca="1">OFFSET(IS!$B$4,0,ROW($A13)-ROW($A$8),1,1)</f>
        <v>45443</v>
      </c>
      <c r="H13" s="189">
        <f t="shared" ca="1" si="6"/>
        <v>3107306.42</v>
      </c>
      <c r="I13" s="189">
        <f t="shared" ca="1" si="0"/>
        <v>0</v>
      </c>
      <c r="J13" s="189">
        <f t="shared" ca="1" si="1"/>
        <v>0</v>
      </c>
      <c r="K13" s="239">
        <f t="shared" ca="1" si="3"/>
        <v>3107306.42</v>
      </c>
    </row>
    <row r="14" spans="1:11" ht="15.95" customHeight="1" x14ac:dyDescent="0.25">
      <c r="A14" s="181">
        <f t="shared" si="4"/>
        <v>45297</v>
      </c>
      <c r="B14" s="34">
        <f t="shared" si="5"/>
        <v>285526.79000000004</v>
      </c>
      <c r="C14" s="34" cm="1">
        <f t="array" ref="C14">IF(A14="","",SUMIFS(IncPayAmount,IncPayDate,$A14,IncPayDate,"&lt;&gt;""",IncBank,$C$4)-SUMIFS(ExpIncl,ExpPayDate,$A14,ExpPayDate,"&lt;&gt;""",ExpBank,$C$4,ExpIncl,"&lt;0"))</f>
        <v>0</v>
      </c>
      <c r="D14" s="34" cm="1">
        <f t="array" ref="D14">IF(A14="","",-SUMIFS(ExpIncl,ExpPayDate,$A14,ExpPayDate,"&lt;&gt;""",ExpBank,$C$4,ExpIncl,"&gt;0"))</f>
        <v>0</v>
      </c>
      <c r="E14" s="234">
        <f t="shared" si="2"/>
        <v>285526.79000000004</v>
      </c>
      <c r="G14" s="238">
        <f ca="1">OFFSET(IS!$B$4,0,ROW($A14)-ROW($A$8),1,1)</f>
        <v>45473</v>
      </c>
      <c r="H14" s="189">
        <f t="shared" ca="1" si="6"/>
        <v>3107306.42</v>
      </c>
      <c r="I14" s="189">
        <f t="shared" ca="1" si="0"/>
        <v>0</v>
      </c>
      <c r="J14" s="189">
        <f t="shared" ca="1" si="1"/>
        <v>0</v>
      </c>
      <c r="K14" s="239">
        <f t="shared" ca="1" si="3"/>
        <v>3107306.42</v>
      </c>
    </row>
    <row r="15" spans="1:11" ht="15.95" customHeight="1" x14ac:dyDescent="0.25">
      <c r="A15" s="181">
        <f t="shared" si="4"/>
        <v>45298</v>
      </c>
      <c r="B15" s="34">
        <f t="shared" si="5"/>
        <v>285526.79000000004</v>
      </c>
      <c r="C15" s="34" cm="1">
        <f t="array" ref="C15">IF(A15="","",SUMIFS(IncPayAmount,IncPayDate,$A15,IncPayDate,"&lt;&gt;""",IncBank,$C$4)-SUMIFS(ExpIncl,ExpPayDate,$A15,ExpPayDate,"&lt;&gt;""",ExpBank,$C$4,ExpIncl,"&lt;0"))</f>
        <v>0</v>
      </c>
      <c r="D15" s="34" cm="1">
        <f t="array" ref="D15">IF(A15="","",-SUMIFS(ExpIncl,ExpPayDate,$A15,ExpPayDate,"&lt;&gt;""",ExpBank,$C$4,ExpIncl,"&gt;0"))</f>
        <v>0</v>
      </c>
      <c r="E15" s="234">
        <f t="shared" si="2"/>
        <v>285526.79000000004</v>
      </c>
      <c r="G15" s="238">
        <f ca="1">OFFSET(IS!$B$4,0,ROW($A15)-ROW($A$8),1,1)</f>
        <v>45504</v>
      </c>
      <c r="H15" s="189">
        <f t="shared" ca="1" si="6"/>
        <v>3107306.42</v>
      </c>
      <c r="I15" s="189">
        <f t="shared" ca="1" si="0"/>
        <v>0</v>
      </c>
      <c r="J15" s="189">
        <f t="shared" ca="1" si="1"/>
        <v>0</v>
      </c>
      <c r="K15" s="239">
        <f t="shared" ca="1" si="3"/>
        <v>3107306.42</v>
      </c>
    </row>
    <row r="16" spans="1:11" ht="15.95" customHeight="1" x14ac:dyDescent="0.25">
      <c r="A16" s="181">
        <f t="shared" si="4"/>
        <v>45299</v>
      </c>
      <c r="B16" s="34">
        <f t="shared" si="5"/>
        <v>285526.79000000004</v>
      </c>
      <c r="C16" s="34" cm="1">
        <f t="array" ref="C16">IF(A16="","",SUMIFS(IncPayAmount,IncPayDate,$A16,IncPayDate,"&lt;&gt;""",IncBank,$C$4)-SUMIFS(ExpIncl,ExpPayDate,$A16,ExpPayDate,"&lt;&gt;""",ExpBank,$C$4,ExpIncl,"&lt;0"))</f>
        <v>0</v>
      </c>
      <c r="D16" s="34" cm="1">
        <f t="array" ref="D16">IF(A16="","",-SUMIFS(ExpIncl,ExpPayDate,$A16,ExpPayDate,"&lt;&gt;""",ExpBank,$C$4,ExpIncl,"&gt;0"))</f>
        <v>0</v>
      </c>
      <c r="E16" s="234">
        <f t="shared" si="2"/>
        <v>285526.79000000004</v>
      </c>
      <c r="G16" s="238">
        <f ca="1">OFFSET(IS!$B$4,0,ROW($A16)-ROW($A$8),1,1)</f>
        <v>45535</v>
      </c>
      <c r="H16" s="189">
        <f t="shared" ca="1" si="6"/>
        <v>3107306.42</v>
      </c>
      <c r="I16" s="189">
        <f t="shared" ca="1" si="0"/>
        <v>0</v>
      </c>
      <c r="J16" s="189">
        <f t="shared" ca="1" si="1"/>
        <v>0</v>
      </c>
      <c r="K16" s="239">
        <f t="shared" ca="1" si="3"/>
        <v>3107306.42</v>
      </c>
    </row>
    <row r="17" spans="1:11" ht="15.95" customHeight="1" x14ac:dyDescent="0.25">
      <c r="A17" s="181">
        <f t="shared" si="4"/>
        <v>45300</v>
      </c>
      <c r="B17" s="34">
        <f t="shared" si="5"/>
        <v>285526.79000000004</v>
      </c>
      <c r="C17" s="34" cm="1">
        <f t="array" ref="C17">IF(A17="","",SUMIFS(IncPayAmount,IncPayDate,$A17,IncPayDate,"&lt;&gt;""",IncBank,$C$4)-SUMIFS(ExpIncl,ExpPayDate,$A17,ExpPayDate,"&lt;&gt;""",ExpBank,$C$4,ExpIncl,"&lt;0"))</f>
        <v>0</v>
      </c>
      <c r="D17" s="34" cm="1">
        <f t="array" ref="D17">IF(A17="","",-SUMIFS(ExpIncl,ExpPayDate,$A17,ExpPayDate,"&lt;&gt;""",ExpBank,$C$4,ExpIncl,"&gt;0"))</f>
        <v>-250000</v>
      </c>
      <c r="E17" s="234">
        <f t="shared" si="2"/>
        <v>35526.790000000037</v>
      </c>
      <c r="G17" s="238">
        <f ca="1">OFFSET(IS!$B$4,0,ROW($A17)-ROW($A$8),1,1)</f>
        <v>45565</v>
      </c>
      <c r="H17" s="189">
        <f t="shared" ca="1" si="6"/>
        <v>3107306.42</v>
      </c>
      <c r="I17" s="189">
        <f t="shared" ca="1" si="0"/>
        <v>0</v>
      </c>
      <c r="J17" s="189">
        <f t="shared" ca="1" si="1"/>
        <v>0</v>
      </c>
      <c r="K17" s="239">
        <f t="shared" ca="1" si="3"/>
        <v>3107306.42</v>
      </c>
    </row>
    <row r="18" spans="1:11" ht="15.95" customHeight="1" x14ac:dyDescent="0.25">
      <c r="A18" s="181">
        <f t="shared" si="4"/>
        <v>45301</v>
      </c>
      <c r="B18" s="34">
        <f t="shared" si="5"/>
        <v>35526.790000000037</v>
      </c>
      <c r="C18" s="34" cm="1">
        <f t="array" ref="C18">IF(A18="","",SUMIFS(IncPayAmount,IncPayDate,$A18,IncPayDate,"&lt;&gt;""",IncBank,$C$4)-SUMIFS(ExpIncl,ExpPayDate,$A18,ExpPayDate,"&lt;&gt;""",ExpBank,$C$4,ExpIncl,"&lt;0"))</f>
        <v>0</v>
      </c>
      <c r="D18" s="34" cm="1">
        <f t="array" ref="D18">IF(A18="","",-SUMIFS(ExpIncl,ExpPayDate,$A18,ExpPayDate,"&lt;&gt;""",ExpBank,$C$4,ExpIncl,"&gt;0"))</f>
        <v>0</v>
      </c>
      <c r="E18" s="234">
        <f t="shared" si="2"/>
        <v>35526.790000000037</v>
      </c>
      <c r="G18" s="238">
        <f ca="1">OFFSET(IS!$B$4,0,ROW($A18)-ROW($A$8),1,1)</f>
        <v>45596</v>
      </c>
      <c r="H18" s="189">
        <f t="shared" ca="1" si="6"/>
        <v>3107306.42</v>
      </c>
      <c r="I18" s="189">
        <f t="shared" ca="1" si="0"/>
        <v>0</v>
      </c>
      <c r="J18" s="189">
        <f t="shared" ca="1" si="1"/>
        <v>0</v>
      </c>
      <c r="K18" s="239">
        <f t="shared" ca="1" si="3"/>
        <v>3107306.42</v>
      </c>
    </row>
    <row r="19" spans="1:11" ht="15.95" customHeight="1" x14ac:dyDescent="0.25">
      <c r="A19" s="181">
        <f t="shared" si="4"/>
        <v>45302</v>
      </c>
      <c r="B19" s="34">
        <f t="shared" si="5"/>
        <v>35526.790000000037</v>
      </c>
      <c r="C19" s="34" cm="1">
        <f t="array" ref="C19">IF(A19="","",SUMIFS(IncPayAmount,IncPayDate,$A19,IncPayDate,"&lt;&gt;""",IncBank,$C$4)-SUMIFS(ExpIncl,ExpPayDate,$A19,ExpPayDate,"&lt;&gt;""",ExpBank,$C$4,ExpIncl,"&lt;0"))</f>
        <v>0</v>
      </c>
      <c r="D19" s="34" cm="1">
        <f t="array" ref="D19">IF(A19="","",-SUMIFS(ExpIncl,ExpPayDate,$A19,ExpPayDate,"&lt;&gt;""",ExpBank,$C$4,ExpIncl,"&gt;0"))</f>
        <v>0</v>
      </c>
      <c r="E19" s="234">
        <f t="shared" si="2"/>
        <v>35526.790000000037</v>
      </c>
      <c r="G19" s="238">
        <f ca="1">OFFSET(IS!$B$4,0,ROW($A19)-ROW($A$8),1,1)</f>
        <v>45626</v>
      </c>
      <c r="H19" s="189">
        <f t="shared" ca="1" si="6"/>
        <v>3107306.42</v>
      </c>
      <c r="I19" s="189">
        <f t="shared" ca="1" si="0"/>
        <v>0</v>
      </c>
      <c r="J19" s="189">
        <f t="shared" ca="1" si="1"/>
        <v>0</v>
      </c>
      <c r="K19" s="239">
        <f t="shared" ca="1" si="3"/>
        <v>3107306.42</v>
      </c>
    </row>
    <row r="20" spans="1:11" ht="15.95" customHeight="1" x14ac:dyDescent="0.25">
      <c r="A20" s="181">
        <f t="shared" si="4"/>
        <v>45303</v>
      </c>
      <c r="B20" s="34">
        <f t="shared" si="5"/>
        <v>35526.790000000037</v>
      </c>
      <c r="C20" s="34" cm="1">
        <f t="array" ref="C20">IF(A20="","",SUMIFS(IncPayAmount,IncPayDate,$A20,IncPayDate,"&lt;&gt;""",IncBank,$C$4)-SUMIFS(ExpIncl,ExpPayDate,$A20,ExpPayDate,"&lt;&gt;""",ExpBank,$C$4,ExpIncl,"&lt;0"))</f>
        <v>0</v>
      </c>
      <c r="D20" s="34" cm="1">
        <f t="array" ref="D20">IF(A20="","",-SUMIFS(ExpIncl,ExpPayDate,$A20,ExpPayDate,"&lt;&gt;""",ExpBank,$C$4,ExpIncl,"&gt;0"))</f>
        <v>0</v>
      </c>
      <c r="E20" s="234">
        <f t="shared" si="2"/>
        <v>35526.790000000037</v>
      </c>
      <c r="G20" s="240">
        <f ca="1">OFFSET(IS!$B$4,0,ROW($A20)-ROW($A$8),1,1)</f>
        <v>45657</v>
      </c>
      <c r="H20" s="241">
        <f t="shared" ca="1" si="6"/>
        <v>3107306.42</v>
      </c>
      <c r="I20" s="241">
        <f t="shared" ca="1" si="0"/>
        <v>0</v>
      </c>
      <c r="J20" s="241">
        <f t="shared" ca="1" si="1"/>
        <v>0</v>
      </c>
      <c r="K20" s="242">
        <f t="shared" ca="1" si="3"/>
        <v>3107306.42</v>
      </c>
    </row>
    <row r="21" spans="1:11" ht="15.95" customHeight="1" x14ac:dyDescent="0.25">
      <c r="A21" s="181">
        <f t="shared" si="4"/>
        <v>45304</v>
      </c>
      <c r="B21" s="34">
        <f t="shared" si="5"/>
        <v>35526.790000000037</v>
      </c>
      <c r="C21" s="34" cm="1">
        <f t="array" ref="C21">IF(A21="","",SUMIFS(IncPayAmount,IncPayDate,$A21,IncPayDate,"&lt;&gt;""",IncBank,$C$4)-SUMIFS(ExpIncl,ExpPayDate,$A21,ExpPayDate,"&lt;&gt;""",ExpBank,$C$4,ExpIncl,"&lt;0"))</f>
        <v>0</v>
      </c>
      <c r="D21" s="34" cm="1">
        <f t="array" ref="D21">IF(A21="","",-SUMIFS(ExpIncl,ExpPayDate,$A21,ExpPayDate,"&lt;&gt;""",ExpBank,$C$4,ExpIncl,"&gt;0"))</f>
        <v>-15340</v>
      </c>
      <c r="E21" s="234">
        <f t="shared" si="2"/>
        <v>20186.790000000037</v>
      </c>
    </row>
    <row r="22" spans="1:11" ht="15.95" customHeight="1" x14ac:dyDescent="0.25">
      <c r="A22" s="181">
        <f t="shared" si="4"/>
        <v>45305</v>
      </c>
      <c r="B22" s="34">
        <f t="shared" si="5"/>
        <v>20186.790000000037</v>
      </c>
      <c r="C22" s="34" cm="1">
        <f t="array" ref="C22">IF(A22="","",SUMIFS(IncPayAmount,IncPayDate,$A22,IncPayDate,"&lt;&gt;""",IncBank,$C$4)-SUMIFS(ExpIncl,ExpPayDate,$A22,ExpPayDate,"&lt;&gt;""",ExpBank,$C$4,ExpIncl,"&lt;0"))</f>
        <v>0</v>
      </c>
      <c r="D22" s="34" cm="1">
        <f t="array" ref="D22">IF(A22="","",-SUMIFS(ExpIncl,ExpPayDate,$A22,ExpPayDate,"&lt;&gt;""",ExpBank,$C$4,ExpIncl,"&gt;0"))</f>
        <v>0</v>
      </c>
      <c r="E22" s="234">
        <f t="shared" si="2"/>
        <v>20186.790000000037</v>
      </c>
    </row>
    <row r="23" spans="1:11" ht="15.95" customHeight="1" x14ac:dyDescent="0.25">
      <c r="A23" s="181">
        <f t="shared" si="4"/>
        <v>45306</v>
      </c>
      <c r="B23" s="34">
        <f t="shared" si="5"/>
        <v>20186.790000000037</v>
      </c>
      <c r="C23" s="34" cm="1">
        <f t="array" ref="C23">IF(A23="","",SUMIFS(IncPayAmount,IncPayDate,$A23,IncPayDate,"&lt;&gt;""",IncBank,$C$4)-SUMIFS(ExpIncl,ExpPayDate,$A23,ExpPayDate,"&lt;&gt;""",ExpBank,$C$4,ExpIncl,"&lt;0"))</f>
        <v>0</v>
      </c>
      <c r="D23" s="34" cm="1">
        <f t="array" ref="D23">IF(A23="","",-SUMIFS(ExpIncl,ExpPayDate,$A23,ExpPayDate,"&lt;&gt;""",ExpBank,$C$4,ExpIncl,"&gt;0"))</f>
        <v>0</v>
      </c>
      <c r="E23" s="234">
        <f t="shared" si="2"/>
        <v>20186.790000000037</v>
      </c>
    </row>
    <row r="24" spans="1:11" ht="15.95" customHeight="1" x14ac:dyDescent="0.25">
      <c r="A24" s="181">
        <f t="shared" si="4"/>
        <v>45307</v>
      </c>
      <c r="B24" s="34">
        <f t="shared" si="5"/>
        <v>20186.790000000037</v>
      </c>
      <c r="C24" s="34" cm="1">
        <f t="array" ref="C24">IF(A24="","",SUMIFS(IncPayAmount,IncPayDate,$A24,IncPayDate,"&lt;&gt;""",IncBank,$C$4)-SUMIFS(ExpIncl,ExpPayDate,$A24,ExpPayDate,"&lt;&gt;""",ExpBank,$C$4,ExpIncl,"&lt;0"))</f>
        <v>0</v>
      </c>
      <c r="D24" s="34" cm="1">
        <f t="array" ref="D24">IF(A24="","",-SUMIFS(ExpIncl,ExpPayDate,$A24,ExpPayDate,"&lt;&gt;""",ExpBank,$C$4,ExpIncl,"&gt;0"))</f>
        <v>0</v>
      </c>
      <c r="E24" s="234">
        <f t="shared" si="2"/>
        <v>20186.790000000037</v>
      </c>
    </row>
    <row r="25" spans="1:11" ht="15.95" customHeight="1" x14ac:dyDescent="0.25">
      <c r="A25" s="181">
        <f t="shared" si="4"/>
        <v>45308</v>
      </c>
      <c r="B25" s="34">
        <f t="shared" si="5"/>
        <v>20186.790000000037</v>
      </c>
      <c r="C25" s="34" cm="1">
        <f t="array" ref="C25">IF(A25="","",SUMIFS(IncPayAmount,IncPayDate,$A25,IncPayDate,"&lt;&gt;""",IncBank,$C$4)-SUMIFS(ExpIncl,ExpPayDate,$A25,ExpPayDate,"&lt;&gt;""",ExpBank,$C$4,ExpIncl,"&lt;0"))</f>
        <v>0</v>
      </c>
      <c r="D25" s="34" cm="1">
        <f t="array" ref="D25">IF(A25="","",-SUMIFS(ExpIncl,ExpPayDate,$A25,ExpPayDate,"&lt;&gt;""",ExpBank,$C$4,ExpIncl,"&gt;0"))</f>
        <v>0</v>
      </c>
      <c r="E25" s="234">
        <f t="shared" si="2"/>
        <v>20186.790000000037</v>
      </c>
    </row>
    <row r="26" spans="1:11" ht="15.95" customHeight="1" x14ac:dyDescent="0.25">
      <c r="A26" s="181">
        <f t="shared" si="4"/>
        <v>45309</v>
      </c>
      <c r="B26" s="34">
        <f t="shared" si="5"/>
        <v>20186.790000000037</v>
      </c>
      <c r="C26" s="34" cm="1">
        <f t="array" ref="C26">IF(A26="","",SUMIFS(IncPayAmount,IncPayDate,$A26,IncPayDate,"&lt;&gt;""",IncBank,$C$4)-SUMIFS(ExpIncl,ExpPayDate,$A26,ExpPayDate,"&lt;&gt;""",ExpBank,$C$4,ExpIncl,"&lt;0"))</f>
        <v>0</v>
      </c>
      <c r="D26" s="34" cm="1">
        <f t="array" ref="D26">IF(A26="","",-SUMIFS(ExpIncl,ExpPayDate,$A26,ExpPayDate,"&lt;&gt;""",ExpBank,$C$4,ExpIncl,"&gt;0"))</f>
        <v>0</v>
      </c>
      <c r="E26" s="234">
        <f t="shared" si="2"/>
        <v>20186.790000000037</v>
      </c>
    </row>
    <row r="27" spans="1:11" ht="15.95" customHeight="1" x14ac:dyDescent="0.25">
      <c r="A27" s="181">
        <f t="shared" si="4"/>
        <v>45310</v>
      </c>
      <c r="B27" s="34">
        <f t="shared" si="5"/>
        <v>20186.790000000037</v>
      </c>
      <c r="C27" s="34" cm="1">
        <f t="array" ref="C27">IF(A27="","",SUMIFS(IncPayAmount,IncPayDate,$A27,IncPayDate,"&lt;&gt;""",IncBank,$C$4)-SUMIFS(ExpIncl,ExpPayDate,$A27,ExpPayDate,"&lt;&gt;""",ExpBank,$C$4,ExpIncl,"&lt;0"))</f>
        <v>0</v>
      </c>
      <c r="D27" s="34" cm="1">
        <f t="array" ref="D27">IF(A27="","",-SUMIFS(ExpIncl,ExpPayDate,$A27,ExpPayDate,"&lt;&gt;""",ExpBank,$C$4,ExpIncl,"&gt;0"))</f>
        <v>0</v>
      </c>
      <c r="E27" s="234">
        <f t="shared" si="2"/>
        <v>20186.790000000037</v>
      </c>
    </row>
    <row r="28" spans="1:11" ht="15.95" customHeight="1" x14ac:dyDescent="0.25">
      <c r="A28" s="181">
        <f t="shared" si="4"/>
        <v>45311</v>
      </c>
      <c r="B28" s="34">
        <f t="shared" si="5"/>
        <v>20186.790000000037</v>
      </c>
      <c r="C28" s="34" cm="1">
        <f t="array" ref="C28">IF(A28="","",SUMIFS(IncPayAmount,IncPayDate,$A28,IncPayDate,"&lt;&gt;""",IncBank,$C$4)-SUMIFS(ExpIncl,ExpPayDate,$A28,ExpPayDate,"&lt;&gt;""",ExpBank,$C$4,ExpIncl,"&lt;0"))</f>
        <v>0</v>
      </c>
      <c r="D28" s="34" cm="1">
        <f t="array" ref="D28">IF(A28="","",-SUMIFS(ExpIncl,ExpPayDate,$A28,ExpPayDate,"&lt;&gt;""",ExpBank,$C$4,ExpIncl,"&gt;0"))</f>
        <v>0</v>
      </c>
      <c r="E28" s="234">
        <f t="shared" si="2"/>
        <v>20186.790000000037</v>
      </c>
    </row>
    <row r="29" spans="1:11" ht="15.95" customHeight="1" x14ac:dyDescent="0.25">
      <c r="A29" s="181">
        <f t="shared" si="4"/>
        <v>45312</v>
      </c>
      <c r="B29" s="34">
        <f t="shared" si="5"/>
        <v>20186.790000000037</v>
      </c>
      <c r="C29" s="34" cm="1">
        <f t="array" ref="C29">IF(A29="","",SUMIFS(IncPayAmount,IncPayDate,$A29,IncPayDate,"&lt;&gt;""",IncBank,$C$4)-SUMIFS(ExpIncl,ExpPayDate,$A29,ExpPayDate,"&lt;&gt;""",ExpBank,$C$4,ExpIncl,"&lt;0"))</f>
        <v>0</v>
      </c>
      <c r="D29" s="34" cm="1">
        <f t="array" ref="D29">IF(A29="","",-SUMIFS(ExpIncl,ExpPayDate,$A29,ExpPayDate,"&lt;&gt;""",ExpBank,$C$4,ExpIncl,"&gt;0"))</f>
        <v>0</v>
      </c>
      <c r="E29" s="234">
        <f t="shared" si="2"/>
        <v>20186.790000000037</v>
      </c>
    </row>
    <row r="30" spans="1:11" ht="15.95" customHeight="1" x14ac:dyDescent="0.25">
      <c r="A30" s="181">
        <f t="shared" si="4"/>
        <v>45313</v>
      </c>
      <c r="B30" s="34">
        <f t="shared" si="5"/>
        <v>20186.790000000037</v>
      </c>
      <c r="C30" s="34" cm="1">
        <f t="array" ref="C30">IF(A30="","",SUMIFS(IncPayAmount,IncPayDate,$A30,IncPayDate,"&lt;&gt;""",IncBank,$C$4)-SUMIFS(ExpIncl,ExpPayDate,$A30,ExpPayDate,"&lt;&gt;""",ExpBank,$C$4,ExpIncl,"&lt;0"))</f>
        <v>0</v>
      </c>
      <c r="D30" s="34" cm="1">
        <f t="array" ref="D30">IF(A30="","",-SUMIFS(ExpIncl,ExpPayDate,$A30,ExpPayDate,"&lt;&gt;""",ExpBank,$C$4,ExpIncl,"&gt;0"))</f>
        <v>0</v>
      </c>
      <c r="E30" s="234">
        <f t="shared" si="2"/>
        <v>20186.790000000037</v>
      </c>
    </row>
    <row r="31" spans="1:11" ht="15.95" customHeight="1" x14ac:dyDescent="0.25">
      <c r="A31" s="181">
        <f t="shared" si="4"/>
        <v>45314</v>
      </c>
      <c r="B31" s="34">
        <f t="shared" si="5"/>
        <v>20186.790000000037</v>
      </c>
      <c r="C31" s="34" cm="1">
        <f t="array" ref="C31">IF(A31="","",SUMIFS(IncPayAmount,IncPayDate,$A31,IncPayDate,"&lt;&gt;""",IncBank,$C$4)-SUMIFS(ExpIncl,ExpPayDate,$A31,ExpPayDate,"&lt;&gt;""",ExpBank,$C$4,ExpIncl,"&lt;0"))</f>
        <v>581820.71</v>
      </c>
      <c r="D31" s="34" cm="1">
        <f t="array" ref="D31">IF(A31="","",-SUMIFS(ExpIncl,ExpPayDate,$A31,ExpPayDate,"&lt;&gt;""",ExpBank,$C$4,ExpIncl,"&gt;0"))</f>
        <v>0</v>
      </c>
      <c r="E31" s="234">
        <f t="shared" si="2"/>
        <v>602007.5</v>
      </c>
    </row>
    <row r="32" spans="1:11" ht="15.95" customHeight="1" x14ac:dyDescent="0.25">
      <c r="A32" s="181">
        <f t="shared" si="4"/>
        <v>45315</v>
      </c>
      <c r="B32" s="34">
        <f t="shared" si="5"/>
        <v>602007.5</v>
      </c>
      <c r="C32" s="34" cm="1">
        <f t="array" ref="C32">IF(A32="","",SUMIFS(IncPayAmount,IncPayDate,$A32,IncPayDate,"&lt;&gt;""",IncBank,$C$4)-SUMIFS(ExpIncl,ExpPayDate,$A32,ExpPayDate,"&lt;&gt;""",ExpBank,$C$4,ExpIncl,"&lt;0"))</f>
        <v>0</v>
      </c>
      <c r="D32" s="34" cm="1">
        <f t="array" ref="D32">IF(A32="","",-SUMIFS(ExpIncl,ExpPayDate,$A32,ExpPayDate,"&lt;&gt;""",ExpBank,$C$4,ExpIncl,"&gt;0"))</f>
        <v>-261916</v>
      </c>
      <c r="E32" s="234">
        <f t="shared" si="2"/>
        <v>340091.5</v>
      </c>
    </row>
    <row r="33" spans="1:5" ht="15.95" customHeight="1" x14ac:dyDescent="0.25">
      <c r="A33" s="181">
        <f t="shared" si="4"/>
        <v>45316</v>
      </c>
      <c r="B33" s="34">
        <f t="shared" si="5"/>
        <v>340091.5</v>
      </c>
      <c r="C33" s="34" cm="1">
        <f t="array" ref="C33">IF(A33="","",SUMIFS(IncPayAmount,IncPayDate,$A33,IncPayDate,"&lt;&gt;""",IncBank,$C$4)-SUMIFS(ExpIncl,ExpPayDate,$A33,ExpPayDate,"&lt;&gt;""",ExpBank,$C$4,ExpIncl,"&lt;0"))</f>
        <v>0</v>
      </c>
      <c r="D33" s="34" cm="1">
        <f t="array" ref="D33">IF(A33="","",-SUMIFS(ExpIncl,ExpPayDate,$A33,ExpPayDate,"&lt;&gt;""",ExpBank,$C$4,ExpIncl,"&gt;0"))</f>
        <v>0</v>
      </c>
      <c r="E33" s="234">
        <f t="shared" si="2"/>
        <v>340091.5</v>
      </c>
    </row>
    <row r="34" spans="1:5" ht="15.95" customHeight="1" x14ac:dyDescent="0.25">
      <c r="A34" s="181">
        <f t="shared" si="4"/>
        <v>45317</v>
      </c>
      <c r="B34" s="34">
        <f t="shared" si="5"/>
        <v>340091.5</v>
      </c>
      <c r="C34" s="34" cm="1">
        <f t="array" ref="C34">IF(A34="","",SUMIFS(IncPayAmount,IncPayDate,$A34,IncPayDate,"&lt;&gt;""",IncBank,$C$4)-SUMIFS(ExpIncl,ExpPayDate,$A34,ExpPayDate,"&lt;&gt;""",ExpBank,$C$4,ExpIncl,"&lt;0"))</f>
        <v>0</v>
      </c>
      <c r="D34" s="34" cm="1">
        <f t="array" ref="D34">IF(A34="","",-SUMIFS(ExpIncl,ExpPayDate,$A34,ExpPayDate,"&lt;&gt;""",ExpBank,$C$4,ExpIncl,"&gt;0"))</f>
        <v>0</v>
      </c>
      <c r="E34" s="234">
        <f t="shared" si="2"/>
        <v>340091.5</v>
      </c>
    </row>
    <row r="35" spans="1:5" ht="15.95" customHeight="1" x14ac:dyDescent="0.25">
      <c r="A35" s="181">
        <f t="shared" si="4"/>
        <v>45318</v>
      </c>
      <c r="B35" s="34">
        <f t="shared" si="5"/>
        <v>340091.5</v>
      </c>
      <c r="C35" s="34" cm="1">
        <f t="array" ref="C35">IF(A35="","",SUMIFS(IncPayAmount,IncPayDate,$A35,IncPayDate,"&lt;&gt;""",IncBank,$C$4)-SUMIFS(ExpIncl,ExpPayDate,$A35,ExpPayDate,"&lt;&gt;""",ExpBank,$C$4,ExpIncl,"&lt;0"))</f>
        <v>0</v>
      </c>
      <c r="D35" s="34" cm="1">
        <f t="array" ref="D35">IF(A35="","",-SUMIFS(ExpIncl,ExpPayDate,$A35,ExpPayDate,"&lt;&gt;""",ExpBank,$C$4,ExpIncl,"&gt;0"))</f>
        <v>0</v>
      </c>
      <c r="E35" s="234">
        <f t="shared" si="2"/>
        <v>340091.5</v>
      </c>
    </row>
    <row r="36" spans="1:5" ht="15.95" customHeight="1" x14ac:dyDescent="0.25">
      <c r="A36" s="181">
        <f t="shared" si="4"/>
        <v>45319</v>
      </c>
      <c r="B36" s="34">
        <f t="shared" si="5"/>
        <v>340091.5</v>
      </c>
      <c r="C36" s="34" cm="1">
        <f t="array" ref="C36">IF(A36="","",SUMIFS(IncPayAmount,IncPayDate,$A36,IncPayDate,"&lt;&gt;""",IncBank,$C$4)-SUMIFS(ExpIncl,ExpPayDate,$A36,ExpPayDate,"&lt;&gt;""",ExpBank,$C$4,ExpIncl,"&lt;0"))</f>
        <v>0</v>
      </c>
      <c r="D36" s="34" cm="1">
        <f t="array" ref="D36">IF(A36="","",-SUMIFS(ExpIncl,ExpPayDate,$A36,ExpPayDate,"&lt;&gt;""",ExpBank,$C$4,ExpIncl,"&gt;0"))</f>
        <v>0</v>
      </c>
      <c r="E36" s="234">
        <f t="shared" si="2"/>
        <v>340091.5</v>
      </c>
    </row>
    <row r="37" spans="1:5" ht="15.95" customHeight="1" x14ac:dyDescent="0.25">
      <c r="A37" s="181">
        <f t="shared" si="4"/>
        <v>45320</v>
      </c>
      <c r="B37" s="34">
        <f t="shared" si="5"/>
        <v>340091.5</v>
      </c>
      <c r="C37" s="34" cm="1">
        <f t="array" ref="C37">IF(A37="","",SUMIFS(IncPayAmount,IncPayDate,$A37,IncPayDate,"&lt;&gt;""",IncBank,$C$4)-SUMIFS(ExpIncl,ExpPayDate,$A37,ExpPayDate,"&lt;&gt;""",ExpBank,$C$4,ExpIncl,"&lt;0"))</f>
        <v>429514.92</v>
      </c>
      <c r="D37" s="34" cm="1">
        <f t="array" ref="D37">IF(A37="","",-SUMIFS(ExpIncl,ExpPayDate,$A37,ExpPayDate,"&lt;&gt;""",ExpBank,$C$4,ExpIncl,"&gt;0"))</f>
        <v>0</v>
      </c>
      <c r="E37" s="234">
        <f t="shared" si="2"/>
        <v>769606.41999999993</v>
      </c>
    </row>
    <row r="38" spans="1:5" ht="15.95" customHeight="1" x14ac:dyDescent="0.25">
      <c r="A38" s="181">
        <f t="shared" si="4"/>
        <v>45321</v>
      </c>
      <c r="B38" s="34">
        <f t="shared" si="5"/>
        <v>769606.41999999993</v>
      </c>
      <c r="C38" s="34" cm="1">
        <f t="array" ref="C38">IF(A38="","",SUMIFS(IncPayAmount,IncPayDate,$A38,IncPayDate,"&lt;&gt;""",IncBank,$C$4)-SUMIFS(ExpIncl,ExpPayDate,$A38,ExpPayDate,"&lt;&gt;""",ExpBank,$C$4,ExpIncl,"&lt;0"))</f>
        <v>2119880</v>
      </c>
      <c r="D38" s="34" cm="1">
        <f t="array" ref="D38">IF(A38="","",-SUMIFS(ExpIncl,ExpPayDate,$A38,ExpPayDate,"&lt;&gt;""",ExpBank,$C$4,ExpIncl,"&gt;0"))</f>
        <v>-250000</v>
      </c>
      <c r="E38" s="234">
        <f t="shared" si="2"/>
        <v>2639486.42</v>
      </c>
    </row>
    <row r="39" spans="1:5" ht="15.95" customHeight="1" x14ac:dyDescent="0.25">
      <c r="A39" s="181">
        <f t="shared" si="4"/>
        <v>45322</v>
      </c>
      <c r="B39" s="34">
        <f t="shared" si="5"/>
        <v>2639486.42</v>
      </c>
      <c r="C39" s="34" cm="1">
        <f t="array" ref="C39">IF(A39="","",SUMIFS(IncPayAmount,IncPayDate,$A39,IncPayDate,"&lt;&gt;""",IncBank,$C$4)-SUMIFS(ExpIncl,ExpPayDate,$A39,ExpPayDate,"&lt;&gt;""",ExpBank,$C$4,ExpIncl,"&lt;0"))</f>
        <v>467820</v>
      </c>
      <c r="D39" s="34" cm="1">
        <f t="array" ref="D39">IF(A39="","",-SUMIFS(ExpIncl,ExpPayDate,$A39,ExpPayDate,"&lt;&gt;""",ExpBank,$C$4,ExpIncl,"&gt;0"))</f>
        <v>0</v>
      </c>
      <c r="E39" s="234">
        <f t="shared" si="2"/>
        <v>3107306.42</v>
      </c>
    </row>
  </sheetData>
  <sheetProtection autoFilter="0"/>
  <mergeCells count="2">
    <mergeCell ref="A7:E7"/>
    <mergeCell ref="G7:K7"/>
  </mergeCells>
  <dataValidations count="2">
    <dataValidation type="list" allowBlank="1" showInputMessage="1" showErrorMessage="1" errorTitle="Invalid Data" error="Select a valid item from the list box." sqref="B4" xr:uid="{00000000-0002-0000-0E00-000000000000}">
      <formula1>BankCode</formula1>
    </dataValidation>
    <dataValidation type="list" allowBlank="1" showInputMessage="1" showErrorMessage="1" errorTitle="Invalid Month" error="Select one of the reporting periods from the list box." sqref="B5" xr:uid="{00000000-0002-0000-0E00-000001000000}">
      <formula1>Months</formula1>
    </dataValidation>
  </dataValidations>
  <pageMargins left="0.59055118110236227" right="0.59055118110236227" top="0.59055118110236227" bottom="0.59055118110236227" header="0.39370078740157483" footer="0.39370078740157483"/>
  <pageSetup paperSize="9" scale="82" orientation="landscape"/>
  <headerFooter alignWithMargins="0">
    <oddFoote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17"/>
  <sheetViews>
    <sheetView zoomScale="95" zoomScaleNormal="95" workbookViewId="0">
      <pane ySplit="5" topLeftCell="A6" activePane="bottomLeft" state="frozen"/>
      <selection pane="bottomLeft" activeCell="F11" sqref="F11"/>
    </sheetView>
  </sheetViews>
  <sheetFormatPr defaultColWidth="9.140625" defaultRowHeight="15.95" customHeight="1" x14ac:dyDescent="0.25"/>
  <cols>
    <col min="1" max="1" width="16.85546875" style="181" customWidth="1"/>
    <col min="2" max="3" width="16.85546875" style="34" customWidth="1"/>
    <col min="4" max="6" width="16.85546875" style="4" customWidth="1"/>
    <col min="7" max="9" width="16.85546875" style="34" customWidth="1"/>
    <col min="10" max="11" width="16.85546875" style="244" customWidth="1"/>
    <col min="12" max="16384" width="9.140625" style="4"/>
  </cols>
  <sheetData>
    <row r="1" spans="1:11" ht="15.95" customHeight="1" x14ac:dyDescent="0.25">
      <c r="A1" s="272" t="str">
        <f>IF(ISBLANK(Setup!$C$5),"Example Limited",Setup!$C$5)</f>
        <v>Nasia Consult Co. Limited</v>
      </c>
      <c r="D1" s="243" t="s">
        <v>603</v>
      </c>
      <c r="E1" s="243" t="s">
        <v>604</v>
      </c>
      <c r="F1" s="243" t="s">
        <v>605</v>
      </c>
    </row>
    <row r="2" spans="1:11" ht="15.95" customHeight="1" x14ac:dyDescent="0.25">
      <c r="A2" s="177" t="s">
        <v>3</v>
      </c>
      <c r="C2" s="87">
        <f>IF($D$2="National/Federal",1,IF($D$2="State",2,0))</f>
        <v>1</v>
      </c>
      <c r="D2" s="245" t="s">
        <v>693</v>
      </c>
      <c r="E2" s="245" t="s">
        <v>654</v>
      </c>
      <c r="F2" s="245"/>
      <c r="G2" s="38" t="str">
        <f>IF(ISBLANK(E2),"*",E2)</f>
        <v>VAT</v>
      </c>
      <c r="H2" s="227" t="str">
        <f>IF(ISBLANK(F2),"*",F2)</f>
        <v>*</v>
      </c>
    </row>
    <row r="3" spans="1:11" s="6" customFormat="1" ht="15.95" customHeight="1" x14ac:dyDescent="0.2">
      <c r="A3" s="246" t="s">
        <v>244</v>
      </c>
      <c r="B3" s="71"/>
      <c r="C3" s="71"/>
      <c r="D3" s="71"/>
      <c r="E3" s="71"/>
      <c r="G3" s="71"/>
      <c r="H3" s="71"/>
      <c r="I3" s="71"/>
      <c r="J3" s="247"/>
      <c r="K3" s="247"/>
    </row>
    <row r="4" spans="1:11" s="39" customFormat="1" ht="18" customHeight="1" x14ac:dyDescent="0.25">
      <c r="A4" s="248"/>
      <c r="B4" s="365" t="s">
        <v>3</v>
      </c>
      <c r="C4" s="365"/>
      <c r="D4" s="365"/>
      <c r="E4" s="365"/>
      <c r="F4" s="365"/>
      <c r="G4" s="366" t="s">
        <v>323</v>
      </c>
      <c r="H4" s="366"/>
      <c r="I4" s="249" t="s">
        <v>336</v>
      </c>
      <c r="J4" s="367" t="s">
        <v>334</v>
      </c>
      <c r="K4" s="367"/>
    </row>
    <row r="5" spans="1:11" s="3" customFormat="1" ht="18" customHeight="1" x14ac:dyDescent="0.2">
      <c r="A5" s="250" t="s">
        <v>314</v>
      </c>
      <c r="B5" s="251" t="s">
        <v>318</v>
      </c>
      <c r="C5" s="251" t="s">
        <v>320</v>
      </c>
      <c r="D5" s="232" t="s">
        <v>321</v>
      </c>
      <c r="E5" s="232" t="s">
        <v>322</v>
      </c>
      <c r="F5" s="252" t="s">
        <v>319</v>
      </c>
      <c r="G5" s="251" t="s">
        <v>320</v>
      </c>
      <c r="H5" s="251" t="s">
        <v>321</v>
      </c>
      <c r="I5" s="251" t="s">
        <v>335</v>
      </c>
      <c r="J5" s="253" t="s">
        <v>320</v>
      </c>
      <c r="K5" s="253" t="s">
        <v>321</v>
      </c>
    </row>
    <row r="6" spans="1:11" ht="15.95" customHeight="1" x14ac:dyDescent="0.25">
      <c r="A6" s="254">
        <f ca="1">OFFSET(IS!$B$4,0,ROW($B6)-ROW($B$5),1,1)</f>
        <v>45322</v>
      </c>
      <c r="B6" s="255" cm="1">
        <f t="array" ref="B6">IF(OR(ISBLANK($E$2)=FALSE,ISBLANK($F$2)=FALSE),0,IF($C$2=1,-SUMIF(AccountAll,BS!$A$51,AccountOpen),IF($C$2=2,-SUMIF(AccountAll,BS!$A$52,AccountOpen),-SUMIF(AccountAll,BS!$A$51,AccountOpen)-SUMIF(AccountAll,BS!$A$52,AccountOpen))))</f>
        <v>0</v>
      </c>
      <c r="C6" s="256" cm="1">
        <f t="array" aca="1" ref="C6" ca="1">IF($C$2=1,SUMIFS(IncTax1,IncDocDate,"&gt;="&amp;DATE(YEAR($A6),MONTH($A6),1),IncDocDate,"&lt;="&amp;$A6,IncTaxCode1,$G$2),IF($C$2=2,IF(IncTaxCount=2,SUMIFS(IncTax2,IncDocDate,"&gt;="&amp;DATE(YEAR($A6),MONTH($A6),1),IncDocDate,"&lt;="&amp;$A6,IncTaxCode2,$H$2),0),IF(IncTaxCount=2,SUMIFS(IncTax1,IncDocDate,"&gt;="&amp;DATE(YEAR($A6),MONTH($A6),1),IncDocDate,"&lt;="&amp;$A6,IncTaxCode1,$G$2,IncTaxCode2,$H$2),SUMIFS(IncTax1,IncDocDate,"&gt;="&amp;DATE(YEAR($A6),MONTH($A6),1),IncDocDate,"&lt;="&amp;$A6,IncTaxCode1,$G$2))+IF(IncTaxCount=2,SUMIFS(IncTax2,IncDocDate,"&gt;="&amp;DATE(YEAR($A6),MONTH($A6),1),IncDocDate,"&lt;="&amp;$A6,IncTaxCode1,$G$2,IncTaxCode2,$H$2),0)))</f>
        <v>15011778.693050848</v>
      </c>
      <c r="D6" s="236" cm="1">
        <f t="array" aca="1" ref="D6" ca="1">-IF($C$2=1,SUMIFS(ExpTax1,ExpDocDate,"&gt;="&amp;DATE(YEAR($A6),MONTH($A6),1),ExpDocDate,"&lt;="&amp;$A6,ExpTaxCode1,$G$2),IF($C$2=2,IF(ExpTaxCount=2,SUMIFS(ExpTax2,ExpDocDate,"&gt;="&amp;DATE(YEAR($A6),MONTH($A6),1),ExpDocDate,"&lt;="&amp;$A6,ExpTaxCode2,$H$2),0),IF(ExpTaxCount=2,SUMIFS(ExpTax1,ExpDocDate,"&gt;="&amp;DATE(YEAR($A6),MONTH($A6),1),ExpDocDate,"&lt;="&amp;$A6,ExpTaxCode1,$G$2,ExpTaxCode2,$H$2),SUMIFS(ExpTax1,ExpDocDate,"&gt;="&amp;DATE(YEAR($A6),MONTH($A6),1),ExpDocDate,"&lt;="&amp;$A6,ExpTaxCode1,$G$2))+IF(ExpTaxCount=2,SUMIFS(ExpTax2,ExpDocDate,"&gt;="&amp;DATE(YEAR($A6),MONTH($A6),1),ExpDocDate,"&lt;="&amp;$A6,ExpTaxCode1,$G$2,ExpTaxCode2,$H$2),0)))</f>
        <v>-47117.593220338982</v>
      </c>
      <c r="E6" s="255" cm="1">
        <f t="array" ref="E6">IF(OR(ISBLANK($E$2)=FALSE,ISBLANK($F$2)=FALSE),0,IF($C$2=2,0,SUMIFS(IncExcl,IncDocDate,"&gt;="&amp;DATE(YEAR($A6),MONTH($A6),1),IncDocDate,"&lt;="&amp;$A6,IncAccount,BS!$A$51))+IF($C$2=1,0,SUMIFS(IncExcl,IncDocDate,"&gt;="&amp;DATE(YEAR($A6),MONTH($A6),1),IncDocDate,"&lt;="&amp;$A6,IncAccount,BS!$A$52))-IF($C$2=2,0,SUMIFS(ExpExcl,ExpDocDate,"&gt;="&amp;DATE(YEAR($A6),MONTH($A6),1),ExpDocDate,"&lt;="&amp;$A6,ExpAccount,BS!$A$51))-IF($C$2=1,0,SUMIFS(ExpExcl,ExpDocDate,"&gt;="&amp;DATE(YEAR($A6),MONTH($A6),1),ExpDocDate,"&lt;="&amp;$A6,ExpAccount,BS!$A$52)))</f>
        <v>0</v>
      </c>
      <c r="F6" s="257">
        <f>IF(OR(ISBLANK($E$2)=FALSE,ISBLANK($F$2)=FALSE),0,SUM(B6:E6))</f>
        <v>0</v>
      </c>
      <c r="G6" s="256" cm="1">
        <f t="array" aca="1" ref="G6" ca="1">IF($C$2=1,SUMIFS(IncIncl,IncDocDate,"&gt;="&amp;DATE(YEAR($A6),MONTH($A6),1),IncDocDate,"&lt;="&amp;$A6,IncTaxCode1,$G$2),IF($C$2=2,SUMIFS(IncIncl,IncDocDate,"&gt;="&amp;DATE(YEAR($A6),MONTH($A6),1),IncDocDate,"&lt;="&amp;$A6,IncTaxCode2,$H$2),IF(IncTaxCount=2,SUMIFS(IncIncl,IncDocDate,"&gt;="&amp;DATE(YEAR($A6),MONTH($A6),1),IncDocDate,"&lt;="&amp;$A6,IncTaxCode1,$G$2,IncTaxCode2,$H$2),SUMIFS(IncIncl,IncDocDate,"&gt;="&amp;DATE(YEAR($A6),MONTH($A6),1),IncDocDate,"&lt;="&amp;$A6,IncTaxCode1,$G$2))))</f>
        <v>98410549.209999993</v>
      </c>
      <c r="H6" s="237" cm="1">
        <f t="array" aca="1" ref="H6" ca="1">-IF($C$2=1,SUMIFS(ExpIncl,ExpDocDate,"&gt;="&amp;DATE(YEAR($A6),MONTH($A6),1),ExpDocDate,"&lt;="&amp;$A6,ExpTaxCode1,$G$2),IF($C$2=2,SUMIFS(ExpIncl,ExpDocDate,"&gt;="&amp;DATE(YEAR($A6),MONTH($A6),1),ExpDocDate,"&lt;="&amp;$A6,ExpTaxCode2,$H$2),IF(ExpTaxCount=2,SUMIFS(ExpIncl,ExpDocDate,"&gt;="&amp;DATE(YEAR($A6),MONTH($A6),1),ExpDocDate,"&lt;="&amp;$A6,ExpTaxCode1,$G$2,ExpTaxCode2,$H$2),SUMIFS(ExpIncl,ExpDocDate,"&gt;="&amp;DATE(YEAR($A6),MONTH($A6),1),ExpDocDate,"&lt;="&amp;$A6,ExpTaxCode1,$G$2))))</f>
        <v>-308882</v>
      </c>
      <c r="I6" s="236">
        <f ca="1">SUM(C6:D6)</f>
        <v>14964661.09983051</v>
      </c>
      <c r="J6" s="258">
        <f ca="1">IF(G6-C6=0,0,C6/(G6-C6))</f>
        <v>0.18000000000000002</v>
      </c>
      <c r="K6" s="259">
        <f ca="1">IF(H6-D6=0,0,D6/(H6-D6))</f>
        <v>0.18</v>
      </c>
    </row>
    <row r="7" spans="1:11" ht="15.95" customHeight="1" x14ac:dyDescent="0.25">
      <c r="A7" s="260">
        <f ca="1">OFFSET(IS!$B$4,0,ROW($B7)-ROW($B$5),1,1)</f>
        <v>45351</v>
      </c>
      <c r="B7" s="261">
        <f>IF(OR(ISBLANK($E$2)=FALSE,ISBLANK($F$2)=FALSE),0,F6)</f>
        <v>0</v>
      </c>
      <c r="C7" s="262" cm="1">
        <f t="array" aca="1" ref="C7" ca="1">IF($C$2=1,SUMIFS(IncTax1,IncDocDate,"&gt;="&amp;DATE(YEAR($A7),MONTH($A7),1),IncDocDate,"&lt;="&amp;$A7,IncTaxCode1,$G$2),IF($C$2=2,IF(IncTaxCount=2,SUMIFS(IncTax2,IncDocDate,"&gt;="&amp;DATE(YEAR($A7),MONTH($A7),1),IncDocDate,"&lt;="&amp;$A7,IncTaxCode2,$H$2),0),IF(IncTaxCount=2,SUMIFS(IncTax1,IncDocDate,"&gt;="&amp;DATE(YEAR($A7),MONTH($A7),1),IncDocDate,"&lt;="&amp;$A7,IncTaxCode1,$G$2,IncTaxCode2,$H$2),SUMIFS(IncTax1,IncDocDate,"&gt;="&amp;DATE(YEAR($A7),MONTH($A7),1),IncDocDate,"&lt;="&amp;$A7,IncTaxCode1,$G$2))+IF(IncTaxCount=2,SUMIFS(IncTax2,IncDocDate,"&gt;="&amp;DATE(YEAR($A7),MONTH($A7),1),IncDocDate,"&lt;="&amp;$A7,IncTaxCode1,$G$2,IncTaxCode2,$H$2),0)))</f>
        <v>1839295.8762711864</v>
      </c>
      <c r="D7" s="189" cm="1">
        <f t="array" aca="1" ref="D7" ca="1">-IF($C$2=1,SUMIFS(ExpTax1,ExpDocDate,"&gt;="&amp;DATE(YEAR($A7),MONTH($A7),1),ExpDocDate,"&lt;="&amp;$A7,ExpTaxCode1,$G$2),IF($C$2=2,IF(ExpTaxCount=2,SUMIFS(ExpTax2,ExpDocDate,"&gt;="&amp;DATE(YEAR($A7),MONTH($A7),1),ExpDocDate,"&lt;="&amp;$A7,ExpTaxCode2,$H$2),0),IF(ExpTaxCount=2,SUMIFS(ExpTax1,ExpDocDate,"&gt;="&amp;DATE(YEAR($A7),MONTH($A7),1),ExpDocDate,"&lt;="&amp;$A7,ExpTaxCode1,$G$2,ExpTaxCode2,$H$2),SUMIFS(ExpTax1,ExpDocDate,"&gt;="&amp;DATE(YEAR($A7),MONTH($A7),1),ExpDocDate,"&lt;="&amp;$A7,ExpTaxCode1,$G$2))+IF(ExpTaxCount=2,SUMIFS(ExpTax2,ExpDocDate,"&gt;="&amp;DATE(YEAR($A7),MONTH($A7),1),ExpDocDate,"&lt;="&amp;$A7,ExpTaxCode1,$G$2,ExpTaxCode2,$H$2),0)))</f>
        <v>0</v>
      </c>
      <c r="E7" s="261" cm="1">
        <f t="array" ref="E7">IF(OR(ISBLANK($E$2)=FALSE,ISBLANK($F$2)=FALSE),0,IF($C$2=2,0,SUMIFS(IncExcl,IncDocDate,"&gt;="&amp;DATE(YEAR($A7),MONTH($A7),1),IncDocDate,"&lt;="&amp;$A7,IncAccount,BS!$A$51))+IF($C$2=1,0,SUMIFS(IncExcl,IncDocDate,"&gt;="&amp;DATE(YEAR($A7),MONTH($A7),1),IncDocDate,"&lt;="&amp;$A7,IncAccount,BS!$A$52))-IF($C$2=2,0,SUMIFS(ExpExcl,ExpDocDate,"&gt;="&amp;DATE(YEAR($A7),MONTH($A7),1),ExpDocDate,"&lt;="&amp;$A7,ExpAccount,BS!$A$51))-IF($C$2=1,0,SUMIFS(ExpExcl,ExpDocDate,"&gt;="&amp;DATE(YEAR($A7),MONTH($A7),1),ExpDocDate,"&lt;="&amp;$A7,ExpAccount,BS!$A$52)))</f>
        <v>0</v>
      </c>
      <c r="F7" s="263">
        <f t="shared" ref="F7:F17" si="0">IF(OR(ISBLANK($E$2)=FALSE,ISBLANK($F$2)=FALSE),0,SUM(B7:E7))</f>
        <v>0</v>
      </c>
      <c r="G7" s="262" cm="1">
        <f t="array" aca="1" ref="G7" ca="1">IF($C$2=1,SUMIFS(IncIncl,IncDocDate,"&gt;="&amp;DATE(YEAR($A7),MONTH($A7),1),IncDocDate,"&lt;="&amp;$A7,IncTaxCode1,$G$2),IF($C$2=2,SUMIFS(IncIncl,IncDocDate,"&gt;="&amp;DATE(YEAR($A7),MONTH($A7),1),IncDocDate,"&lt;="&amp;$A7,IncTaxCode2,$H$2),IF(IncTaxCount=2,SUMIFS(IncIncl,IncDocDate,"&gt;="&amp;DATE(YEAR($A7),MONTH($A7),1),IncDocDate,"&lt;="&amp;$A7,IncTaxCode1,$G$2,IncTaxCode2,$H$2),SUMIFS(IncIncl,IncDocDate,"&gt;="&amp;DATE(YEAR($A7),MONTH($A7),1),IncDocDate,"&lt;="&amp;$A7,IncTaxCode1,$G$2))))</f>
        <v>12057606.300000001</v>
      </c>
      <c r="H7" s="239" cm="1">
        <f t="array" aca="1" ref="H7" ca="1">-IF($C$2=1,SUMIFS(ExpIncl,ExpDocDate,"&gt;="&amp;DATE(YEAR($A7),MONTH($A7),1),ExpDocDate,"&lt;="&amp;$A7,ExpTaxCode1,$G$2),IF($C$2=2,SUMIFS(ExpIncl,ExpDocDate,"&gt;="&amp;DATE(YEAR($A7),MONTH($A7),1),ExpDocDate,"&lt;="&amp;$A7,ExpTaxCode2,$H$2),IF(ExpTaxCount=2,SUMIFS(ExpIncl,ExpDocDate,"&gt;="&amp;DATE(YEAR($A7),MONTH($A7),1),ExpDocDate,"&lt;="&amp;$A7,ExpTaxCode1,$G$2,ExpTaxCode2,$H$2),SUMIFS(ExpIncl,ExpDocDate,"&gt;="&amp;DATE(YEAR($A7),MONTH($A7),1),ExpDocDate,"&lt;="&amp;$A7,ExpTaxCode1,$G$2))))</f>
        <v>0</v>
      </c>
      <c r="I7" s="189">
        <f t="shared" ref="I7:I17" ca="1" si="1">SUM(C7:D7)</f>
        <v>1839295.8762711864</v>
      </c>
      <c r="J7" s="264">
        <f t="shared" ref="J7:J17" ca="1" si="2">IF(G7-C7=0,0,C7/(G7-C7))</f>
        <v>0.18</v>
      </c>
      <c r="K7" s="265">
        <f t="shared" ref="K7:K17" ca="1" si="3">IF(H7-D7=0,0,D7/(H7-D7))</f>
        <v>0</v>
      </c>
    </row>
    <row r="8" spans="1:11" ht="15.95" customHeight="1" x14ac:dyDescent="0.25">
      <c r="A8" s="260">
        <f ca="1">OFFSET(IS!$B$4,0,ROW($B8)-ROW($B$5),1,1)</f>
        <v>45382</v>
      </c>
      <c r="B8" s="261">
        <f t="shared" ref="B8:B17" si="4">IF(OR(ISBLANK($E$2)=FALSE,ISBLANK($F$2)=FALSE),0,F7)</f>
        <v>0</v>
      </c>
      <c r="C8" s="262" cm="1">
        <f t="array" aca="1" ref="C8" ca="1">IF($C$2=1,SUMIFS(IncTax1,IncDocDate,"&gt;="&amp;DATE(YEAR($A8),MONTH($A8),1),IncDocDate,"&lt;="&amp;$A8,IncTaxCode1,$G$2),IF($C$2=2,IF(IncTaxCount=2,SUMIFS(IncTax2,IncDocDate,"&gt;="&amp;DATE(YEAR($A8),MONTH($A8),1),IncDocDate,"&lt;="&amp;$A8,IncTaxCode2,$H$2),0),IF(IncTaxCount=2,SUMIFS(IncTax1,IncDocDate,"&gt;="&amp;DATE(YEAR($A8),MONTH($A8),1),IncDocDate,"&lt;="&amp;$A8,IncTaxCode1,$G$2,IncTaxCode2,$H$2),SUMIFS(IncTax1,IncDocDate,"&gt;="&amp;DATE(YEAR($A8),MONTH($A8),1),IncDocDate,"&lt;="&amp;$A8,IncTaxCode1,$G$2))+IF(IncTaxCount=2,SUMIFS(IncTax2,IncDocDate,"&gt;="&amp;DATE(YEAR($A8),MONTH($A8),1),IncDocDate,"&lt;="&amp;$A8,IncTaxCode1,$G$2,IncTaxCode2,$H$2),0)))</f>
        <v>0</v>
      </c>
      <c r="D8" s="189" cm="1">
        <f t="array" aca="1" ref="D8" ca="1">-IF($C$2=1,SUMIFS(ExpTax1,ExpDocDate,"&gt;="&amp;DATE(YEAR($A8),MONTH($A8),1),ExpDocDate,"&lt;="&amp;$A8,ExpTaxCode1,$G$2),IF($C$2=2,IF(ExpTaxCount=2,SUMIFS(ExpTax2,ExpDocDate,"&gt;="&amp;DATE(YEAR($A8),MONTH($A8),1),ExpDocDate,"&lt;="&amp;$A8,ExpTaxCode2,$H$2),0),IF(ExpTaxCount=2,SUMIFS(ExpTax1,ExpDocDate,"&gt;="&amp;DATE(YEAR($A8),MONTH($A8),1),ExpDocDate,"&lt;="&amp;$A8,ExpTaxCode1,$G$2,ExpTaxCode2,$H$2),SUMIFS(ExpTax1,ExpDocDate,"&gt;="&amp;DATE(YEAR($A8),MONTH($A8),1),ExpDocDate,"&lt;="&amp;$A8,ExpTaxCode1,$G$2))+IF(ExpTaxCount=2,SUMIFS(ExpTax2,ExpDocDate,"&gt;="&amp;DATE(YEAR($A8),MONTH($A8),1),ExpDocDate,"&lt;="&amp;$A8,ExpTaxCode1,$G$2,ExpTaxCode2,$H$2),0)))</f>
        <v>0</v>
      </c>
      <c r="E8" s="261" cm="1">
        <f t="array" ref="E8">IF(OR(ISBLANK($E$2)=FALSE,ISBLANK($F$2)=FALSE),0,IF($C$2=2,0,SUMIFS(IncExcl,IncDocDate,"&gt;="&amp;DATE(YEAR($A8),MONTH($A8),1),IncDocDate,"&lt;="&amp;$A8,IncAccount,BS!$A$51))+IF($C$2=1,0,SUMIFS(IncExcl,IncDocDate,"&gt;="&amp;DATE(YEAR($A8),MONTH($A8),1),IncDocDate,"&lt;="&amp;$A8,IncAccount,BS!$A$52))-IF($C$2=2,0,SUMIFS(ExpExcl,ExpDocDate,"&gt;="&amp;DATE(YEAR($A8),MONTH($A8),1),ExpDocDate,"&lt;="&amp;$A8,ExpAccount,BS!$A$51))-IF($C$2=1,0,SUMIFS(ExpExcl,ExpDocDate,"&gt;="&amp;DATE(YEAR($A8),MONTH($A8),1),ExpDocDate,"&lt;="&amp;$A8,ExpAccount,BS!$A$52)))</f>
        <v>0</v>
      </c>
      <c r="F8" s="263">
        <f t="shared" si="0"/>
        <v>0</v>
      </c>
      <c r="G8" s="262" cm="1">
        <f t="array" aca="1" ref="G8" ca="1">IF($C$2=1,SUMIFS(IncIncl,IncDocDate,"&gt;="&amp;DATE(YEAR($A8),MONTH($A8),1),IncDocDate,"&lt;="&amp;$A8,IncTaxCode1,$G$2),IF($C$2=2,SUMIFS(IncIncl,IncDocDate,"&gt;="&amp;DATE(YEAR($A8),MONTH($A8),1),IncDocDate,"&lt;="&amp;$A8,IncTaxCode2,$H$2),IF(IncTaxCount=2,SUMIFS(IncIncl,IncDocDate,"&gt;="&amp;DATE(YEAR($A8),MONTH($A8),1),IncDocDate,"&lt;="&amp;$A8,IncTaxCode1,$G$2,IncTaxCode2,$H$2),SUMIFS(IncIncl,IncDocDate,"&gt;="&amp;DATE(YEAR($A8),MONTH($A8),1),IncDocDate,"&lt;="&amp;$A8,IncTaxCode1,$G$2))))</f>
        <v>0</v>
      </c>
      <c r="H8" s="239" cm="1">
        <f t="array" aca="1" ref="H8" ca="1">-IF($C$2=1,SUMIFS(ExpIncl,ExpDocDate,"&gt;="&amp;DATE(YEAR($A8),MONTH($A8),1),ExpDocDate,"&lt;="&amp;$A8,ExpTaxCode1,$G$2),IF($C$2=2,SUMIFS(ExpIncl,ExpDocDate,"&gt;="&amp;DATE(YEAR($A8),MONTH($A8),1),ExpDocDate,"&lt;="&amp;$A8,ExpTaxCode2,$H$2),IF(ExpTaxCount=2,SUMIFS(ExpIncl,ExpDocDate,"&gt;="&amp;DATE(YEAR($A8),MONTH($A8),1),ExpDocDate,"&lt;="&amp;$A8,ExpTaxCode1,$G$2,ExpTaxCode2,$H$2),SUMIFS(ExpIncl,ExpDocDate,"&gt;="&amp;DATE(YEAR($A8),MONTH($A8),1),ExpDocDate,"&lt;="&amp;$A8,ExpTaxCode1,$G$2))))</f>
        <v>0</v>
      </c>
      <c r="I8" s="189">
        <f t="shared" ca="1" si="1"/>
        <v>0</v>
      </c>
      <c r="J8" s="264">
        <f t="shared" ca="1" si="2"/>
        <v>0</v>
      </c>
      <c r="K8" s="265">
        <f t="shared" ca="1" si="3"/>
        <v>0</v>
      </c>
    </row>
    <row r="9" spans="1:11" ht="15.95" customHeight="1" x14ac:dyDescent="0.25">
      <c r="A9" s="260">
        <f ca="1">OFFSET(IS!$B$4,0,ROW($B9)-ROW($B$5),1,1)</f>
        <v>45412</v>
      </c>
      <c r="B9" s="261">
        <f t="shared" si="4"/>
        <v>0</v>
      </c>
      <c r="C9" s="262" cm="1">
        <f t="array" aca="1" ref="C9" ca="1">IF($C$2=1,SUMIFS(IncTax1,IncDocDate,"&gt;="&amp;DATE(YEAR($A9),MONTH($A9),1),IncDocDate,"&lt;="&amp;$A9,IncTaxCode1,$G$2),IF($C$2=2,IF(IncTaxCount=2,SUMIFS(IncTax2,IncDocDate,"&gt;="&amp;DATE(YEAR($A9),MONTH($A9),1),IncDocDate,"&lt;="&amp;$A9,IncTaxCode2,$H$2),0),IF(IncTaxCount=2,SUMIFS(IncTax1,IncDocDate,"&gt;="&amp;DATE(YEAR($A9),MONTH($A9),1),IncDocDate,"&lt;="&amp;$A9,IncTaxCode1,$G$2,IncTaxCode2,$H$2),SUMIFS(IncTax1,IncDocDate,"&gt;="&amp;DATE(YEAR($A9),MONTH($A9),1),IncDocDate,"&lt;="&amp;$A9,IncTaxCode1,$G$2))+IF(IncTaxCount=2,SUMIFS(IncTax2,IncDocDate,"&gt;="&amp;DATE(YEAR($A9),MONTH($A9),1),IncDocDate,"&lt;="&amp;$A9,IncTaxCode1,$G$2,IncTaxCode2,$H$2),0)))</f>
        <v>0</v>
      </c>
      <c r="D9" s="189" cm="1">
        <f t="array" aca="1" ref="D9" ca="1">-IF($C$2=1,SUMIFS(ExpTax1,ExpDocDate,"&gt;="&amp;DATE(YEAR($A9),MONTH($A9),1),ExpDocDate,"&lt;="&amp;$A9,ExpTaxCode1,$G$2),IF($C$2=2,IF(ExpTaxCount=2,SUMIFS(ExpTax2,ExpDocDate,"&gt;="&amp;DATE(YEAR($A9),MONTH($A9),1),ExpDocDate,"&lt;="&amp;$A9,ExpTaxCode2,$H$2),0),IF(ExpTaxCount=2,SUMIFS(ExpTax1,ExpDocDate,"&gt;="&amp;DATE(YEAR($A9),MONTH($A9),1),ExpDocDate,"&lt;="&amp;$A9,ExpTaxCode1,$G$2,ExpTaxCode2,$H$2),SUMIFS(ExpTax1,ExpDocDate,"&gt;="&amp;DATE(YEAR($A9),MONTH($A9),1),ExpDocDate,"&lt;="&amp;$A9,ExpTaxCode1,$G$2))+IF(ExpTaxCount=2,SUMIFS(ExpTax2,ExpDocDate,"&gt;="&amp;DATE(YEAR($A9),MONTH($A9),1),ExpDocDate,"&lt;="&amp;$A9,ExpTaxCode1,$G$2,ExpTaxCode2,$H$2),0)))</f>
        <v>0</v>
      </c>
      <c r="E9" s="261" cm="1">
        <f t="array" ref="E9">IF(OR(ISBLANK($E$2)=FALSE,ISBLANK($F$2)=FALSE),0,IF($C$2=2,0,SUMIFS(IncExcl,IncDocDate,"&gt;="&amp;DATE(YEAR($A9),MONTH($A9),1),IncDocDate,"&lt;="&amp;$A9,IncAccount,BS!$A$51))+IF($C$2=1,0,SUMIFS(IncExcl,IncDocDate,"&gt;="&amp;DATE(YEAR($A9),MONTH($A9),1),IncDocDate,"&lt;="&amp;$A9,IncAccount,BS!$A$52))-IF($C$2=2,0,SUMIFS(ExpExcl,ExpDocDate,"&gt;="&amp;DATE(YEAR($A9),MONTH($A9),1),ExpDocDate,"&lt;="&amp;$A9,ExpAccount,BS!$A$51))-IF($C$2=1,0,SUMIFS(ExpExcl,ExpDocDate,"&gt;="&amp;DATE(YEAR($A9),MONTH($A9),1),ExpDocDate,"&lt;="&amp;$A9,ExpAccount,BS!$A$52)))</f>
        <v>0</v>
      </c>
      <c r="F9" s="263">
        <f t="shared" si="0"/>
        <v>0</v>
      </c>
      <c r="G9" s="262" cm="1">
        <f t="array" aca="1" ref="G9" ca="1">IF($C$2=1,SUMIFS(IncIncl,IncDocDate,"&gt;="&amp;DATE(YEAR($A9),MONTH($A9),1),IncDocDate,"&lt;="&amp;$A9,IncTaxCode1,$G$2),IF($C$2=2,SUMIFS(IncIncl,IncDocDate,"&gt;="&amp;DATE(YEAR($A9),MONTH($A9),1),IncDocDate,"&lt;="&amp;$A9,IncTaxCode2,$H$2),IF(IncTaxCount=2,SUMIFS(IncIncl,IncDocDate,"&gt;="&amp;DATE(YEAR($A9),MONTH($A9),1),IncDocDate,"&lt;="&amp;$A9,IncTaxCode1,$G$2,IncTaxCode2,$H$2),SUMIFS(IncIncl,IncDocDate,"&gt;="&amp;DATE(YEAR($A9),MONTH($A9),1),IncDocDate,"&lt;="&amp;$A9,IncTaxCode1,$G$2))))</f>
        <v>0</v>
      </c>
      <c r="H9" s="239" cm="1">
        <f t="array" aca="1" ref="H9" ca="1">-IF($C$2=1,SUMIFS(ExpIncl,ExpDocDate,"&gt;="&amp;DATE(YEAR($A9),MONTH($A9),1),ExpDocDate,"&lt;="&amp;$A9,ExpTaxCode1,$G$2),IF($C$2=2,SUMIFS(ExpIncl,ExpDocDate,"&gt;="&amp;DATE(YEAR($A9),MONTH($A9),1),ExpDocDate,"&lt;="&amp;$A9,ExpTaxCode2,$H$2),IF(ExpTaxCount=2,SUMIFS(ExpIncl,ExpDocDate,"&gt;="&amp;DATE(YEAR($A9),MONTH($A9),1),ExpDocDate,"&lt;="&amp;$A9,ExpTaxCode1,$G$2,ExpTaxCode2,$H$2),SUMIFS(ExpIncl,ExpDocDate,"&gt;="&amp;DATE(YEAR($A9),MONTH($A9),1),ExpDocDate,"&lt;="&amp;$A9,ExpTaxCode1,$G$2))))</f>
        <v>0</v>
      </c>
      <c r="I9" s="189">
        <f t="shared" ca="1" si="1"/>
        <v>0</v>
      </c>
      <c r="J9" s="264">
        <f t="shared" ca="1" si="2"/>
        <v>0</v>
      </c>
      <c r="K9" s="265">
        <f t="shared" ca="1" si="3"/>
        <v>0</v>
      </c>
    </row>
    <row r="10" spans="1:11" ht="15.95" customHeight="1" x14ac:dyDescent="0.25">
      <c r="A10" s="260">
        <f ca="1">OFFSET(IS!$B$4,0,ROW($B10)-ROW($B$5),1,1)</f>
        <v>45443</v>
      </c>
      <c r="B10" s="261">
        <f t="shared" si="4"/>
        <v>0</v>
      </c>
      <c r="C10" s="262" cm="1">
        <f t="array" aca="1" ref="C10" ca="1">IF($C$2=1,SUMIFS(IncTax1,IncDocDate,"&gt;="&amp;DATE(YEAR($A10),MONTH($A10),1),IncDocDate,"&lt;="&amp;$A10,IncTaxCode1,$G$2),IF($C$2=2,IF(IncTaxCount=2,SUMIFS(IncTax2,IncDocDate,"&gt;="&amp;DATE(YEAR($A10),MONTH($A10),1),IncDocDate,"&lt;="&amp;$A10,IncTaxCode2,$H$2),0),IF(IncTaxCount=2,SUMIFS(IncTax1,IncDocDate,"&gt;="&amp;DATE(YEAR($A10),MONTH($A10),1),IncDocDate,"&lt;="&amp;$A10,IncTaxCode1,$G$2,IncTaxCode2,$H$2),SUMIFS(IncTax1,IncDocDate,"&gt;="&amp;DATE(YEAR($A10),MONTH($A10),1),IncDocDate,"&lt;="&amp;$A10,IncTaxCode1,$G$2))+IF(IncTaxCount=2,SUMIFS(IncTax2,IncDocDate,"&gt;="&amp;DATE(YEAR($A10),MONTH($A10),1),IncDocDate,"&lt;="&amp;$A10,IncTaxCode1,$G$2,IncTaxCode2,$H$2),0)))</f>
        <v>0</v>
      </c>
      <c r="D10" s="189" cm="1">
        <f t="array" aca="1" ref="D10" ca="1">-IF($C$2=1,SUMIFS(ExpTax1,ExpDocDate,"&gt;="&amp;DATE(YEAR($A10),MONTH($A10),1),ExpDocDate,"&lt;="&amp;$A10,ExpTaxCode1,$G$2),IF($C$2=2,IF(ExpTaxCount=2,SUMIFS(ExpTax2,ExpDocDate,"&gt;="&amp;DATE(YEAR($A10),MONTH($A10),1),ExpDocDate,"&lt;="&amp;$A10,ExpTaxCode2,$H$2),0),IF(ExpTaxCount=2,SUMIFS(ExpTax1,ExpDocDate,"&gt;="&amp;DATE(YEAR($A10),MONTH($A10),1),ExpDocDate,"&lt;="&amp;$A10,ExpTaxCode1,$G$2,ExpTaxCode2,$H$2),SUMIFS(ExpTax1,ExpDocDate,"&gt;="&amp;DATE(YEAR($A10),MONTH($A10),1),ExpDocDate,"&lt;="&amp;$A10,ExpTaxCode1,$G$2))+IF(ExpTaxCount=2,SUMIFS(ExpTax2,ExpDocDate,"&gt;="&amp;DATE(YEAR($A10),MONTH($A10),1),ExpDocDate,"&lt;="&amp;$A10,ExpTaxCode1,$G$2,ExpTaxCode2,$H$2),0)))</f>
        <v>0</v>
      </c>
      <c r="E10" s="261" cm="1">
        <f t="array" ref="E10">IF(OR(ISBLANK($E$2)=FALSE,ISBLANK($F$2)=FALSE),0,IF($C$2=2,0,SUMIFS(IncExcl,IncDocDate,"&gt;="&amp;DATE(YEAR($A10),MONTH($A10),1),IncDocDate,"&lt;="&amp;$A10,IncAccount,BS!$A$51))+IF($C$2=1,0,SUMIFS(IncExcl,IncDocDate,"&gt;="&amp;DATE(YEAR($A10),MONTH($A10),1),IncDocDate,"&lt;="&amp;$A10,IncAccount,BS!$A$52))-IF($C$2=2,0,SUMIFS(ExpExcl,ExpDocDate,"&gt;="&amp;DATE(YEAR($A10),MONTH($A10),1),ExpDocDate,"&lt;="&amp;$A10,ExpAccount,BS!$A$51))-IF($C$2=1,0,SUMIFS(ExpExcl,ExpDocDate,"&gt;="&amp;DATE(YEAR($A10),MONTH($A10),1),ExpDocDate,"&lt;="&amp;$A10,ExpAccount,BS!$A$52)))</f>
        <v>0</v>
      </c>
      <c r="F10" s="263">
        <f t="shared" si="0"/>
        <v>0</v>
      </c>
      <c r="G10" s="262" cm="1">
        <f t="array" aca="1" ref="G10" ca="1">IF($C$2=1,SUMIFS(IncIncl,IncDocDate,"&gt;="&amp;DATE(YEAR($A10),MONTH($A10),1),IncDocDate,"&lt;="&amp;$A10,IncTaxCode1,$G$2),IF($C$2=2,SUMIFS(IncIncl,IncDocDate,"&gt;="&amp;DATE(YEAR($A10),MONTH($A10),1),IncDocDate,"&lt;="&amp;$A10,IncTaxCode2,$H$2),IF(IncTaxCount=2,SUMIFS(IncIncl,IncDocDate,"&gt;="&amp;DATE(YEAR($A10),MONTH($A10),1),IncDocDate,"&lt;="&amp;$A10,IncTaxCode1,$G$2,IncTaxCode2,$H$2),SUMIFS(IncIncl,IncDocDate,"&gt;="&amp;DATE(YEAR($A10),MONTH($A10),1),IncDocDate,"&lt;="&amp;$A10,IncTaxCode1,$G$2))))</f>
        <v>0</v>
      </c>
      <c r="H10" s="239" cm="1">
        <f t="array" aca="1" ref="H10" ca="1">-IF($C$2=1,SUMIFS(ExpIncl,ExpDocDate,"&gt;="&amp;DATE(YEAR($A10),MONTH($A10),1),ExpDocDate,"&lt;="&amp;$A10,ExpTaxCode1,$G$2),IF($C$2=2,SUMIFS(ExpIncl,ExpDocDate,"&gt;="&amp;DATE(YEAR($A10),MONTH($A10),1),ExpDocDate,"&lt;="&amp;$A10,ExpTaxCode2,$H$2),IF(ExpTaxCount=2,SUMIFS(ExpIncl,ExpDocDate,"&gt;="&amp;DATE(YEAR($A10),MONTH($A10),1),ExpDocDate,"&lt;="&amp;$A10,ExpTaxCode1,$G$2,ExpTaxCode2,$H$2),SUMIFS(ExpIncl,ExpDocDate,"&gt;="&amp;DATE(YEAR($A10),MONTH($A10),1),ExpDocDate,"&lt;="&amp;$A10,ExpTaxCode1,$G$2))))</f>
        <v>0</v>
      </c>
      <c r="I10" s="189">
        <f t="shared" ca="1" si="1"/>
        <v>0</v>
      </c>
      <c r="J10" s="264">
        <f t="shared" ca="1" si="2"/>
        <v>0</v>
      </c>
      <c r="K10" s="265">
        <f t="shared" ca="1" si="3"/>
        <v>0</v>
      </c>
    </row>
    <row r="11" spans="1:11" ht="15.95" customHeight="1" x14ac:dyDescent="0.25">
      <c r="A11" s="260">
        <f ca="1">OFFSET(IS!$B$4,0,ROW($B11)-ROW($B$5),1,1)</f>
        <v>45473</v>
      </c>
      <c r="B11" s="261">
        <f t="shared" si="4"/>
        <v>0</v>
      </c>
      <c r="C11" s="262" cm="1">
        <f t="array" aca="1" ref="C11" ca="1">IF($C$2=1,SUMIFS(IncTax1,IncDocDate,"&gt;="&amp;DATE(YEAR($A11),MONTH($A11),1),IncDocDate,"&lt;="&amp;$A11,IncTaxCode1,$G$2),IF($C$2=2,IF(IncTaxCount=2,SUMIFS(IncTax2,IncDocDate,"&gt;="&amp;DATE(YEAR($A11),MONTH($A11),1),IncDocDate,"&lt;="&amp;$A11,IncTaxCode2,$H$2),0),IF(IncTaxCount=2,SUMIFS(IncTax1,IncDocDate,"&gt;="&amp;DATE(YEAR($A11),MONTH($A11),1),IncDocDate,"&lt;="&amp;$A11,IncTaxCode1,$G$2,IncTaxCode2,$H$2),SUMIFS(IncTax1,IncDocDate,"&gt;="&amp;DATE(YEAR($A11),MONTH($A11),1),IncDocDate,"&lt;="&amp;$A11,IncTaxCode1,$G$2))+IF(IncTaxCount=2,SUMIFS(IncTax2,IncDocDate,"&gt;="&amp;DATE(YEAR($A11),MONTH($A11),1),IncDocDate,"&lt;="&amp;$A11,IncTaxCode1,$G$2,IncTaxCode2,$H$2),0)))</f>
        <v>0</v>
      </c>
      <c r="D11" s="189" cm="1">
        <f t="array" aca="1" ref="D11" ca="1">-IF($C$2=1,SUMIFS(ExpTax1,ExpDocDate,"&gt;="&amp;DATE(YEAR($A11),MONTH($A11),1),ExpDocDate,"&lt;="&amp;$A11,ExpTaxCode1,$G$2),IF($C$2=2,IF(ExpTaxCount=2,SUMIFS(ExpTax2,ExpDocDate,"&gt;="&amp;DATE(YEAR($A11),MONTH($A11),1),ExpDocDate,"&lt;="&amp;$A11,ExpTaxCode2,$H$2),0),IF(ExpTaxCount=2,SUMIFS(ExpTax1,ExpDocDate,"&gt;="&amp;DATE(YEAR($A11),MONTH($A11),1),ExpDocDate,"&lt;="&amp;$A11,ExpTaxCode1,$G$2,ExpTaxCode2,$H$2),SUMIFS(ExpTax1,ExpDocDate,"&gt;="&amp;DATE(YEAR($A11),MONTH($A11),1),ExpDocDate,"&lt;="&amp;$A11,ExpTaxCode1,$G$2))+IF(ExpTaxCount=2,SUMIFS(ExpTax2,ExpDocDate,"&gt;="&amp;DATE(YEAR($A11),MONTH($A11),1),ExpDocDate,"&lt;="&amp;$A11,ExpTaxCode1,$G$2,ExpTaxCode2,$H$2),0)))</f>
        <v>0</v>
      </c>
      <c r="E11" s="261" cm="1">
        <f t="array" ref="E11">IF(OR(ISBLANK($E$2)=FALSE,ISBLANK($F$2)=FALSE),0,IF($C$2=2,0,SUMIFS(IncExcl,IncDocDate,"&gt;="&amp;DATE(YEAR($A11),MONTH($A11),1),IncDocDate,"&lt;="&amp;$A11,IncAccount,BS!$A$51))+IF($C$2=1,0,SUMIFS(IncExcl,IncDocDate,"&gt;="&amp;DATE(YEAR($A11),MONTH($A11),1),IncDocDate,"&lt;="&amp;$A11,IncAccount,BS!$A$52))-IF($C$2=2,0,SUMIFS(ExpExcl,ExpDocDate,"&gt;="&amp;DATE(YEAR($A11),MONTH($A11),1),ExpDocDate,"&lt;="&amp;$A11,ExpAccount,BS!$A$51))-IF($C$2=1,0,SUMIFS(ExpExcl,ExpDocDate,"&gt;="&amp;DATE(YEAR($A11),MONTH($A11),1),ExpDocDate,"&lt;="&amp;$A11,ExpAccount,BS!$A$52)))</f>
        <v>0</v>
      </c>
      <c r="F11" s="263">
        <f t="shared" si="0"/>
        <v>0</v>
      </c>
      <c r="G11" s="262" cm="1">
        <f t="array" aca="1" ref="G11" ca="1">IF($C$2=1,SUMIFS(IncIncl,IncDocDate,"&gt;="&amp;DATE(YEAR($A11),MONTH($A11),1),IncDocDate,"&lt;="&amp;$A11,IncTaxCode1,$G$2),IF($C$2=2,SUMIFS(IncIncl,IncDocDate,"&gt;="&amp;DATE(YEAR($A11),MONTH($A11),1),IncDocDate,"&lt;="&amp;$A11,IncTaxCode2,$H$2),IF(IncTaxCount=2,SUMIFS(IncIncl,IncDocDate,"&gt;="&amp;DATE(YEAR($A11),MONTH($A11),1),IncDocDate,"&lt;="&amp;$A11,IncTaxCode1,$G$2,IncTaxCode2,$H$2),SUMIFS(IncIncl,IncDocDate,"&gt;="&amp;DATE(YEAR($A11),MONTH($A11),1),IncDocDate,"&lt;="&amp;$A11,IncTaxCode1,$G$2))))</f>
        <v>0</v>
      </c>
      <c r="H11" s="239" cm="1">
        <f t="array" aca="1" ref="H11" ca="1">-IF($C$2=1,SUMIFS(ExpIncl,ExpDocDate,"&gt;="&amp;DATE(YEAR($A11),MONTH($A11),1),ExpDocDate,"&lt;="&amp;$A11,ExpTaxCode1,$G$2),IF($C$2=2,SUMIFS(ExpIncl,ExpDocDate,"&gt;="&amp;DATE(YEAR($A11),MONTH($A11),1),ExpDocDate,"&lt;="&amp;$A11,ExpTaxCode2,$H$2),IF(ExpTaxCount=2,SUMIFS(ExpIncl,ExpDocDate,"&gt;="&amp;DATE(YEAR($A11),MONTH($A11),1),ExpDocDate,"&lt;="&amp;$A11,ExpTaxCode1,$G$2,ExpTaxCode2,$H$2),SUMIFS(ExpIncl,ExpDocDate,"&gt;="&amp;DATE(YEAR($A11),MONTH($A11),1),ExpDocDate,"&lt;="&amp;$A11,ExpTaxCode1,$G$2))))</f>
        <v>0</v>
      </c>
      <c r="I11" s="189">
        <f t="shared" ca="1" si="1"/>
        <v>0</v>
      </c>
      <c r="J11" s="264">
        <f t="shared" ca="1" si="2"/>
        <v>0</v>
      </c>
      <c r="K11" s="265">
        <f t="shared" ca="1" si="3"/>
        <v>0</v>
      </c>
    </row>
    <row r="12" spans="1:11" ht="15.95" customHeight="1" x14ac:dyDescent="0.25">
      <c r="A12" s="260">
        <f ca="1">OFFSET(IS!$B$4,0,ROW($B12)-ROW($B$5),1,1)</f>
        <v>45504</v>
      </c>
      <c r="B12" s="261">
        <f t="shared" si="4"/>
        <v>0</v>
      </c>
      <c r="C12" s="262" cm="1">
        <f t="array" aca="1" ref="C12" ca="1">IF($C$2=1,SUMIFS(IncTax1,IncDocDate,"&gt;="&amp;DATE(YEAR($A12),MONTH($A12),1),IncDocDate,"&lt;="&amp;$A12,IncTaxCode1,$G$2),IF($C$2=2,IF(IncTaxCount=2,SUMIFS(IncTax2,IncDocDate,"&gt;="&amp;DATE(YEAR($A12),MONTH($A12),1),IncDocDate,"&lt;="&amp;$A12,IncTaxCode2,$H$2),0),IF(IncTaxCount=2,SUMIFS(IncTax1,IncDocDate,"&gt;="&amp;DATE(YEAR($A12),MONTH($A12),1),IncDocDate,"&lt;="&amp;$A12,IncTaxCode1,$G$2,IncTaxCode2,$H$2),SUMIFS(IncTax1,IncDocDate,"&gt;="&amp;DATE(YEAR($A12),MONTH($A12),1),IncDocDate,"&lt;="&amp;$A12,IncTaxCode1,$G$2))+IF(IncTaxCount=2,SUMIFS(IncTax2,IncDocDate,"&gt;="&amp;DATE(YEAR($A12),MONTH($A12),1),IncDocDate,"&lt;="&amp;$A12,IncTaxCode1,$G$2,IncTaxCode2,$H$2),0)))</f>
        <v>0</v>
      </c>
      <c r="D12" s="189" cm="1">
        <f t="array" aca="1" ref="D12" ca="1">-IF($C$2=1,SUMIFS(ExpTax1,ExpDocDate,"&gt;="&amp;DATE(YEAR($A12),MONTH($A12),1),ExpDocDate,"&lt;="&amp;$A12,ExpTaxCode1,$G$2),IF($C$2=2,IF(ExpTaxCount=2,SUMIFS(ExpTax2,ExpDocDate,"&gt;="&amp;DATE(YEAR($A12),MONTH($A12),1),ExpDocDate,"&lt;="&amp;$A12,ExpTaxCode2,$H$2),0),IF(ExpTaxCount=2,SUMIFS(ExpTax1,ExpDocDate,"&gt;="&amp;DATE(YEAR($A12),MONTH($A12),1),ExpDocDate,"&lt;="&amp;$A12,ExpTaxCode1,$G$2,ExpTaxCode2,$H$2),SUMIFS(ExpTax1,ExpDocDate,"&gt;="&amp;DATE(YEAR($A12),MONTH($A12),1),ExpDocDate,"&lt;="&amp;$A12,ExpTaxCode1,$G$2))+IF(ExpTaxCount=2,SUMIFS(ExpTax2,ExpDocDate,"&gt;="&amp;DATE(YEAR($A12),MONTH($A12),1),ExpDocDate,"&lt;="&amp;$A12,ExpTaxCode1,$G$2,ExpTaxCode2,$H$2),0)))</f>
        <v>0</v>
      </c>
      <c r="E12" s="261" cm="1">
        <f t="array" ref="E12">IF(OR(ISBLANK($E$2)=FALSE,ISBLANK($F$2)=FALSE),0,IF($C$2=2,0,SUMIFS(IncExcl,IncDocDate,"&gt;="&amp;DATE(YEAR($A12),MONTH($A12),1),IncDocDate,"&lt;="&amp;$A12,IncAccount,BS!$A$51))+IF($C$2=1,0,SUMIFS(IncExcl,IncDocDate,"&gt;="&amp;DATE(YEAR($A12),MONTH($A12),1),IncDocDate,"&lt;="&amp;$A12,IncAccount,BS!$A$52))-IF($C$2=2,0,SUMIFS(ExpExcl,ExpDocDate,"&gt;="&amp;DATE(YEAR($A12),MONTH($A12),1),ExpDocDate,"&lt;="&amp;$A12,ExpAccount,BS!$A$51))-IF($C$2=1,0,SUMIFS(ExpExcl,ExpDocDate,"&gt;="&amp;DATE(YEAR($A12),MONTH($A12),1),ExpDocDate,"&lt;="&amp;$A12,ExpAccount,BS!$A$52)))</f>
        <v>0</v>
      </c>
      <c r="F12" s="263">
        <f t="shared" si="0"/>
        <v>0</v>
      </c>
      <c r="G12" s="262" cm="1">
        <f t="array" aca="1" ref="G12" ca="1">IF($C$2=1,SUMIFS(IncIncl,IncDocDate,"&gt;="&amp;DATE(YEAR($A12),MONTH($A12),1),IncDocDate,"&lt;="&amp;$A12,IncTaxCode1,$G$2),IF($C$2=2,SUMIFS(IncIncl,IncDocDate,"&gt;="&amp;DATE(YEAR($A12),MONTH($A12),1),IncDocDate,"&lt;="&amp;$A12,IncTaxCode2,$H$2),IF(IncTaxCount=2,SUMIFS(IncIncl,IncDocDate,"&gt;="&amp;DATE(YEAR($A12),MONTH($A12),1),IncDocDate,"&lt;="&amp;$A12,IncTaxCode1,$G$2,IncTaxCode2,$H$2),SUMIFS(IncIncl,IncDocDate,"&gt;="&amp;DATE(YEAR($A12),MONTH($A12),1),IncDocDate,"&lt;="&amp;$A12,IncTaxCode1,$G$2))))</f>
        <v>0</v>
      </c>
      <c r="H12" s="239" cm="1">
        <f t="array" aca="1" ref="H12" ca="1">-IF($C$2=1,SUMIFS(ExpIncl,ExpDocDate,"&gt;="&amp;DATE(YEAR($A12),MONTH($A12),1),ExpDocDate,"&lt;="&amp;$A12,ExpTaxCode1,$G$2),IF($C$2=2,SUMIFS(ExpIncl,ExpDocDate,"&gt;="&amp;DATE(YEAR($A12),MONTH($A12),1),ExpDocDate,"&lt;="&amp;$A12,ExpTaxCode2,$H$2),IF(ExpTaxCount=2,SUMIFS(ExpIncl,ExpDocDate,"&gt;="&amp;DATE(YEAR($A12),MONTH($A12),1),ExpDocDate,"&lt;="&amp;$A12,ExpTaxCode1,$G$2,ExpTaxCode2,$H$2),SUMIFS(ExpIncl,ExpDocDate,"&gt;="&amp;DATE(YEAR($A12),MONTH($A12),1),ExpDocDate,"&lt;="&amp;$A12,ExpTaxCode1,$G$2))))</f>
        <v>0</v>
      </c>
      <c r="I12" s="189">
        <f t="shared" ca="1" si="1"/>
        <v>0</v>
      </c>
      <c r="J12" s="264">
        <f t="shared" ca="1" si="2"/>
        <v>0</v>
      </c>
      <c r="K12" s="265">
        <f t="shared" ca="1" si="3"/>
        <v>0</v>
      </c>
    </row>
    <row r="13" spans="1:11" ht="15.95" customHeight="1" x14ac:dyDescent="0.25">
      <c r="A13" s="260">
        <f ca="1">OFFSET(IS!$B$4,0,ROW($B13)-ROW($B$5),1,1)</f>
        <v>45535</v>
      </c>
      <c r="B13" s="261">
        <f t="shared" si="4"/>
        <v>0</v>
      </c>
      <c r="C13" s="262" cm="1">
        <f t="array" aca="1" ref="C13" ca="1">IF($C$2=1,SUMIFS(IncTax1,IncDocDate,"&gt;="&amp;DATE(YEAR($A13),MONTH($A13),1),IncDocDate,"&lt;="&amp;$A13,IncTaxCode1,$G$2),IF($C$2=2,IF(IncTaxCount=2,SUMIFS(IncTax2,IncDocDate,"&gt;="&amp;DATE(YEAR($A13),MONTH($A13),1),IncDocDate,"&lt;="&amp;$A13,IncTaxCode2,$H$2),0),IF(IncTaxCount=2,SUMIFS(IncTax1,IncDocDate,"&gt;="&amp;DATE(YEAR($A13),MONTH($A13),1),IncDocDate,"&lt;="&amp;$A13,IncTaxCode1,$G$2,IncTaxCode2,$H$2),SUMIFS(IncTax1,IncDocDate,"&gt;="&amp;DATE(YEAR($A13),MONTH($A13),1),IncDocDate,"&lt;="&amp;$A13,IncTaxCode1,$G$2))+IF(IncTaxCount=2,SUMIFS(IncTax2,IncDocDate,"&gt;="&amp;DATE(YEAR($A13),MONTH($A13),1),IncDocDate,"&lt;="&amp;$A13,IncTaxCode1,$G$2,IncTaxCode2,$H$2),0)))</f>
        <v>0</v>
      </c>
      <c r="D13" s="189" cm="1">
        <f t="array" aca="1" ref="D13" ca="1">-IF($C$2=1,SUMIFS(ExpTax1,ExpDocDate,"&gt;="&amp;DATE(YEAR($A13),MONTH($A13),1),ExpDocDate,"&lt;="&amp;$A13,ExpTaxCode1,$G$2),IF($C$2=2,IF(ExpTaxCount=2,SUMIFS(ExpTax2,ExpDocDate,"&gt;="&amp;DATE(YEAR($A13),MONTH($A13),1),ExpDocDate,"&lt;="&amp;$A13,ExpTaxCode2,$H$2),0),IF(ExpTaxCount=2,SUMIFS(ExpTax1,ExpDocDate,"&gt;="&amp;DATE(YEAR($A13),MONTH($A13),1),ExpDocDate,"&lt;="&amp;$A13,ExpTaxCode1,$G$2,ExpTaxCode2,$H$2),SUMIFS(ExpTax1,ExpDocDate,"&gt;="&amp;DATE(YEAR($A13),MONTH($A13),1),ExpDocDate,"&lt;="&amp;$A13,ExpTaxCode1,$G$2))+IF(ExpTaxCount=2,SUMIFS(ExpTax2,ExpDocDate,"&gt;="&amp;DATE(YEAR($A13),MONTH($A13),1),ExpDocDate,"&lt;="&amp;$A13,ExpTaxCode1,$G$2,ExpTaxCode2,$H$2),0)))</f>
        <v>0</v>
      </c>
      <c r="E13" s="261" cm="1">
        <f t="array" ref="E13">IF(OR(ISBLANK($E$2)=FALSE,ISBLANK($F$2)=FALSE),0,IF($C$2=2,0,SUMIFS(IncExcl,IncDocDate,"&gt;="&amp;DATE(YEAR($A13),MONTH($A13),1),IncDocDate,"&lt;="&amp;$A13,IncAccount,BS!$A$51))+IF($C$2=1,0,SUMIFS(IncExcl,IncDocDate,"&gt;="&amp;DATE(YEAR($A13),MONTH($A13),1),IncDocDate,"&lt;="&amp;$A13,IncAccount,BS!$A$52))-IF($C$2=2,0,SUMIFS(ExpExcl,ExpDocDate,"&gt;="&amp;DATE(YEAR($A13),MONTH($A13),1),ExpDocDate,"&lt;="&amp;$A13,ExpAccount,BS!$A$51))-IF($C$2=1,0,SUMIFS(ExpExcl,ExpDocDate,"&gt;="&amp;DATE(YEAR($A13),MONTH($A13),1),ExpDocDate,"&lt;="&amp;$A13,ExpAccount,BS!$A$52)))</f>
        <v>0</v>
      </c>
      <c r="F13" s="263">
        <f t="shared" si="0"/>
        <v>0</v>
      </c>
      <c r="G13" s="262" cm="1">
        <f t="array" aca="1" ref="G13" ca="1">IF($C$2=1,SUMIFS(IncIncl,IncDocDate,"&gt;="&amp;DATE(YEAR($A13),MONTH($A13),1),IncDocDate,"&lt;="&amp;$A13,IncTaxCode1,$G$2),IF($C$2=2,SUMIFS(IncIncl,IncDocDate,"&gt;="&amp;DATE(YEAR($A13),MONTH($A13),1),IncDocDate,"&lt;="&amp;$A13,IncTaxCode2,$H$2),IF(IncTaxCount=2,SUMIFS(IncIncl,IncDocDate,"&gt;="&amp;DATE(YEAR($A13),MONTH($A13),1),IncDocDate,"&lt;="&amp;$A13,IncTaxCode1,$G$2,IncTaxCode2,$H$2),SUMIFS(IncIncl,IncDocDate,"&gt;="&amp;DATE(YEAR($A13),MONTH($A13),1),IncDocDate,"&lt;="&amp;$A13,IncTaxCode1,$G$2))))</f>
        <v>0</v>
      </c>
      <c r="H13" s="239" cm="1">
        <f t="array" aca="1" ref="H13" ca="1">-IF($C$2=1,SUMIFS(ExpIncl,ExpDocDate,"&gt;="&amp;DATE(YEAR($A13),MONTH($A13),1),ExpDocDate,"&lt;="&amp;$A13,ExpTaxCode1,$G$2),IF($C$2=2,SUMIFS(ExpIncl,ExpDocDate,"&gt;="&amp;DATE(YEAR($A13),MONTH($A13),1),ExpDocDate,"&lt;="&amp;$A13,ExpTaxCode2,$H$2),IF(ExpTaxCount=2,SUMIFS(ExpIncl,ExpDocDate,"&gt;="&amp;DATE(YEAR($A13),MONTH($A13),1),ExpDocDate,"&lt;="&amp;$A13,ExpTaxCode1,$G$2,ExpTaxCode2,$H$2),SUMIFS(ExpIncl,ExpDocDate,"&gt;="&amp;DATE(YEAR($A13),MONTH($A13),1),ExpDocDate,"&lt;="&amp;$A13,ExpTaxCode1,$G$2))))</f>
        <v>0</v>
      </c>
      <c r="I13" s="189">
        <f t="shared" ca="1" si="1"/>
        <v>0</v>
      </c>
      <c r="J13" s="264">
        <f t="shared" ca="1" si="2"/>
        <v>0</v>
      </c>
      <c r="K13" s="265">
        <f t="shared" ca="1" si="3"/>
        <v>0</v>
      </c>
    </row>
    <row r="14" spans="1:11" ht="15.95" customHeight="1" x14ac:dyDescent="0.25">
      <c r="A14" s="260">
        <f ca="1">OFFSET(IS!$B$4,0,ROW($B14)-ROW($B$5),1,1)</f>
        <v>45565</v>
      </c>
      <c r="B14" s="261">
        <f t="shared" si="4"/>
        <v>0</v>
      </c>
      <c r="C14" s="262" cm="1">
        <f t="array" aca="1" ref="C14" ca="1">IF($C$2=1,SUMIFS(IncTax1,IncDocDate,"&gt;="&amp;DATE(YEAR($A14),MONTH($A14),1),IncDocDate,"&lt;="&amp;$A14,IncTaxCode1,$G$2),IF($C$2=2,IF(IncTaxCount=2,SUMIFS(IncTax2,IncDocDate,"&gt;="&amp;DATE(YEAR($A14),MONTH($A14),1),IncDocDate,"&lt;="&amp;$A14,IncTaxCode2,$H$2),0),IF(IncTaxCount=2,SUMIFS(IncTax1,IncDocDate,"&gt;="&amp;DATE(YEAR($A14),MONTH($A14),1),IncDocDate,"&lt;="&amp;$A14,IncTaxCode1,$G$2,IncTaxCode2,$H$2),SUMIFS(IncTax1,IncDocDate,"&gt;="&amp;DATE(YEAR($A14),MONTH($A14),1),IncDocDate,"&lt;="&amp;$A14,IncTaxCode1,$G$2))+IF(IncTaxCount=2,SUMIFS(IncTax2,IncDocDate,"&gt;="&amp;DATE(YEAR($A14),MONTH($A14),1),IncDocDate,"&lt;="&amp;$A14,IncTaxCode1,$G$2,IncTaxCode2,$H$2),0)))</f>
        <v>0</v>
      </c>
      <c r="D14" s="189" cm="1">
        <f t="array" aca="1" ref="D14" ca="1">-IF($C$2=1,SUMIFS(ExpTax1,ExpDocDate,"&gt;="&amp;DATE(YEAR($A14),MONTH($A14),1),ExpDocDate,"&lt;="&amp;$A14,ExpTaxCode1,$G$2),IF($C$2=2,IF(ExpTaxCount=2,SUMIFS(ExpTax2,ExpDocDate,"&gt;="&amp;DATE(YEAR($A14),MONTH($A14),1),ExpDocDate,"&lt;="&amp;$A14,ExpTaxCode2,$H$2),0),IF(ExpTaxCount=2,SUMIFS(ExpTax1,ExpDocDate,"&gt;="&amp;DATE(YEAR($A14),MONTH($A14),1),ExpDocDate,"&lt;="&amp;$A14,ExpTaxCode1,$G$2,ExpTaxCode2,$H$2),SUMIFS(ExpTax1,ExpDocDate,"&gt;="&amp;DATE(YEAR($A14),MONTH($A14),1),ExpDocDate,"&lt;="&amp;$A14,ExpTaxCode1,$G$2))+IF(ExpTaxCount=2,SUMIFS(ExpTax2,ExpDocDate,"&gt;="&amp;DATE(YEAR($A14),MONTH($A14),1),ExpDocDate,"&lt;="&amp;$A14,ExpTaxCode1,$G$2,ExpTaxCode2,$H$2),0)))</f>
        <v>0</v>
      </c>
      <c r="E14" s="261" cm="1">
        <f t="array" ref="E14">IF(OR(ISBLANK($E$2)=FALSE,ISBLANK($F$2)=FALSE),0,IF($C$2=2,0,SUMIFS(IncExcl,IncDocDate,"&gt;="&amp;DATE(YEAR($A14),MONTH($A14),1),IncDocDate,"&lt;="&amp;$A14,IncAccount,BS!$A$51))+IF($C$2=1,0,SUMIFS(IncExcl,IncDocDate,"&gt;="&amp;DATE(YEAR($A14),MONTH($A14),1),IncDocDate,"&lt;="&amp;$A14,IncAccount,BS!$A$52))-IF($C$2=2,0,SUMIFS(ExpExcl,ExpDocDate,"&gt;="&amp;DATE(YEAR($A14),MONTH($A14),1),ExpDocDate,"&lt;="&amp;$A14,ExpAccount,BS!$A$51))-IF($C$2=1,0,SUMIFS(ExpExcl,ExpDocDate,"&gt;="&amp;DATE(YEAR($A14),MONTH($A14),1),ExpDocDate,"&lt;="&amp;$A14,ExpAccount,BS!$A$52)))</f>
        <v>0</v>
      </c>
      <c r="F14" s="263">
        <f t="shared" si="0"/>
        <v>0</v>
      </c>
      <c r="G14" s="262" cm="1">
        <f t="array" aca="1" ref="G14" ca="1">IF($C$2=1,SUMIFS(IncIncl,IncDocDate,"&gt;="&amp;DATE(YEAR($A14),MONTH($A14),1),IncDocDate,"&lt;="&amp;$A14,IncTaxCode1,$G$2),IF($C$2=2,SUMIFS(IncIncl,IncDocDate,"&gt;="&amp;DATE(YEAR($A14),MONTH($A14),1),IncDocDate,"&lt;="&amp;$A14,IncTaxCode2,$H$2),IF(IncTaxCount=2,SUMIFS(IncIncl,IncDocDate,"&gt;="&amp;DATE(YEAR($A14),MONTH($A14),1),IncDocDate,"&lt;="&amp;$A14,IncTaxCode1,$G$2,IncTaxCode2,$H$2),SUMIFS(IncIncl,IncDocDate,"&gt;="&amp;DATE(YEAR($A14),MONTH($A14),1),IncDocDate,"&lt;="&amp;$A14,IncTaxCode1,$G$2))))</f>
        <v>0</v>
      </c>
      <c r="H14" s="239" cm="1">
        <f t="array" aca="1" ref="H14" ca="1">-IF($C$2=1,SUMIFS(ExpIncl,ExpDocDate,"&gt;="&amp;DATE(YEAR($A14),MONTH($A14),1),ExpDocDate,"&lt;="&amp;$A14,ExpTaxCode1,$G$2),IF($C$2=2,SUMIFS(ExpIncl,ExpDocDate,"&gt;="&amp;DATE(YEAR($A14),MONTH($A14),1),ExpDocDate,"&lt;="&amp;$A14,ExpTaxCode2,$H$2),IF(ExpTaxCount=2,SUMIFS(ExpIncl,ExpDocDate,"&gt;="&amp;DATE(YEAR($A14),MONTH($A14),1),ExpDocDate,"&lt;="&amp;$A14,ExpTaxCode1,$G$2,ExpTaxCode2,$H$2),SUMIFS(ExpIncl,ExpDocDate,"&gt;="&amp;DATE(YEAR($A14),MONTH($A14),1),ExpDocDate,"&lt;="&amp;$A14,ExpTaxCode1,$G$2))))</f>
        <v>0</v>
      </c>
      <c r="I14" s="189">
        <f t="shared" ca="1" si="1"/>
        <v>0</v>
      </c>
      <c r="J14" s="264">
        <f t="shared" ca="1" si="2"/>
        <v>0</v>
      </c>
      <c r="K14" s="265">
        <f t="shared" ca="1" si="3"/>
        <v>0</v>
      </c>
    </row>
    <row r="15" spans="1:11" ht="15.95" customHeight="1" x14ac:dyDescent="0.25">
      <c r="A15" s="260">
        <f ca="1">OFFSET(IS!$B$4,0,ROW($B15)-ROW($B$5),1,1)</f>
        <v>45596</v>
      </c>
      <c r="B15" s="261">
        <f t="shared" si="4"/>
        <v>0</v>
      </c>
      <c r="C15" s="262" cm="1">
        <f t="array" aca="1" ref="C15" ca="1">IF($C$2=1,SUMIFS(IncTax1,IncDocDate,"&gt;="&amp;DATE(YEAR($A15),MONTH($A15),1),IncDocDate,"&lt;="&amp;$A15,IncTaxCode1,$G$2),IF($C$2=2,IF(IncTaxCount=2,SUMIFS(IncTax2,IncDocDate,"&gt;="&amp;DATE(YEAR($A15),MONTH($A15),1),IncDocDate,"&lt;="&amp;$A15,IncTaxCode2,$H$2),0),IF(IncTaxCount=2,SUMIFS(IncTax1,IncDocDate,"&gt;="&amp;DATE(YEAR($A15),MONTH($A15),1),IncDocDate,"&lt;="&amp;$A15,IncTaxCode1,$G$2,IncTaxCode2,$H$2),SUMIFS(IncTax1,IncDocDate,"&gt;="&amp;DATE(YEAR($A15),MONTH($A15),1),IncDocDate,"&lt;="&amp;$A15,IncTaxCode1,$G$2))+IF(IncTaxCount=2,SUMIFS(IncTax2,IncDocDate,"&gt;="&amp;DATE(YEAR($A15),MONTH($A15),1),IncDocDate,"&lt;="&amp;$A15,IncTaxCode1,$G$2,IncTaxCode2,$H$2),0)))</f>
        <v>0</v>
      </c>
      <c r="D15" s="189" cm="1">
        <f t="array" aca="1" ref="D15" ca="1">-IF($C$2=1,SUMIFS(ExpTax1,ExpDocDate,"&gt;="&amp;DATE(YEAR($A15),MONTH($A15),1),ExpDocDate,"&lt;="&amp;$A15,ExpTaxCode1,$G$2),IF($C$2=2,IF(ExpTaxCount=2,SUMIFS(ExpTax2,ExpDocDate,"&gt;="&amp;DATE(YEAR($A15),MONTH($A15),1),ExpDocDate,"&lt;="&amp;$A15,ExpTaxCode2,$H$2),0),IF(ExpTaxCount=2,SUMIFS(ExpTax1,ExpDocDate,"&gt;="&amp;DATE(YEAR($A15),MONTH($A15),1),ExpDocDate,"&lt;="&amp;$A15,ExpTaxCode1,$G$2,ExpTaxCode2,$H$2),SUMIFS(ExpTax1,ExpDocDate,"&gt;="&amp;DATE(YEAR($A15),MONTH($A15),1),ExpDocDate,"&lt;="&amp;$A15,ExpTaxCode1,$G$2))+IF(ExpTaxCount=2,SUMIFS(ExpTax2,ExpDocDate,"&gt;="&amp;DATE(YEAR($A15),MONTH($A15),1),ExpDocDate,"&lt;="&amp;$A15,ExpTaxCode1,$G$2,ExpTaxCode2,$H$2),0)))</f>
        <v>0</v>
      </c>
      <c r="E15" s="261" cm="1">
        <f t="array" ref="E15">IF(OR(ISBLANK($E$2)=FALSE,ISBLANK($F$2)=FALSE),0,IF($C$2=2,0,SUMIFS(IncExcl,IncDocDate,"&gt;="&amp;DATE(YEAR($A15),MONTH($A15),1),IncDocDate,"&lt;="&amp;$A15,IncAccount,BS!$A$51))+IF($C$2=1,0,SUMIFS(IncExcl,IncDocDate,"&gt;="&amp;DATE(YEAR($A15),MONTH($A15),1),IncDocDate,"&lt;="&amp;$A15,IncAccount,BS!$A$52))-IF($C$2=2,0,SUMIFS(ExpExcl,ExpDocDate,"&gt;="&amp;DATE(YEAR($A15),MONTH($A15),1),ExpDocDate,"&lt;="&amp;$A15,ExpAccount,BS!$A$51))-IF($C$2=1,0,SUMIFS(ExpExcl,ExpDocDate,"&gt;="&amp;DATE(YEAR($A15),MONTH($A15),1),ExpDocDate,"&lt;="&amp;$A15,ExpAccount,BS!$A$52)))</f>
        <v>0</v>
      </c>
      <c r="F15" s="263">
        <f t="shared" si="0"/>
        <v>0</v>
      </c>
      <c r="G15" s="262" cm="1">
        <f t="array" aca="1" ref="G15" ca="1">IF($C$2=1,SUMIFS(IncIncl,IncDocDate,"&gt;="&amp;DATE(YEAR($A15),MONTH($A15),1),IncDocDate,"&lt;="&amp;$A15,IncTaxCode1,$G$2),IF($C$2=2,SUMIFS(IncIncl,IncDocDate,"&gt;="&amp;DATE(YEAR($A15),MONTH($A15),1),IncDocDate,"&lt;="&amp;$A15,IncTaxCode2,$H$2),IF(IncTaxCount=2,SUMIFS(IncIncl,IncDocDate,"&gt;="&amp;DATE(YEAR($A15),MONTH($A15),1),IncDocDate,"&lt;="&amp;$A15,IncTaxCode1,$G$2,IncTaxCode2,$H$2),SUMIFS(IncIncl,IncDocDate,"&gt;="&amp;DATE(YEAR($A15),MONTH($A15),1),IncDocDate,"&lt;="&amp;$A15,IncTaxCode1,$G$2))))</f>
        <v>0</v>
      </c>
      <c r="H15" s="239" cm="1">
        <f t="array" aca="1" ref="H15" ca="1">-IF($C$2=1,SUMIFS(ExpIncl,ExpDocDate,"&gt;="&amp;DATE(YEAR($A15),MONTH($A15),1),ExpDocDate,"&lt;="&amp;$A15,ExpTaxCode1,$G$2),IF($C$2=2,SUMIFS(ExpIncl,ExpDocDate,"&gt;="&amp;DATE(YEAR($A15),MONTH($A15),1),ExpDocDate,"&lt;="&amp;$A15,ExpTaxCode2,$H$2),IF(ExpTaxCount=2,SUMIFS(ExpIncl,ExpDocDate,"&gt;="&amp;DATE(YEAR($A15),MONTH($A15),1),ExpDocDate,"&lt;="&amp;$A15,ExpTaxCode1,$G$2,ExpTaxCode2,$H$2),SUMIFS(ExpIncl,ExpDocDate,"&gt;="&amp;DATE(YEAR($A15),MONTH($A15),1),ExpDocDate,"&lt;="&amp;$A15,ExpTaxCode1,$G$2))))</f>
        <v>0</v>
      </c>
      <c r="I15" s="189">
        <f t="shared" ca="1" si="1"/>
        <v>0</v>
      </c>
      <c r="J15" s="264">
        <f t="shared" ca="1" si="2"/>
        <v>0</v>
      </c>
      <c r="K15" s="265">
        <f t="shared" ca="1" si="3"/>
        <v>0</v>
      </c>
    </row>
    <row r="16" spans="1:11" ht="15.95" customHeight="1" x14ac:dyDescent="0.25">
      <c r="A16" s="260">
        <f ca="1">OFFSET(IS!$B$4,0,ROW($B16)-ROW($B$5),1,1)</f>
        <v>45626</v>
      </c>
      <c r="B16" s="261">
        <f t="shared" si="4"/>
        <v>0</v>
      </c>
      <c r="C16" s="262" cm="1">
        <f t="array" aca="1" ref="C16" ca="1">IF($C$2=1,SUMIFS(IncTax1,IncDocDate,"&gt;="&amp;DATE(YEAR($A16),MONTH($A16),1),IncDocDate,"&lt;="&amp;$A16,IncTaxCode1,$G$2),IF($C$2=2,IF(IncTaxCount=2,SUMIFS(IncTax2,IncDocDate,"&gt;="&amp;DATE(YEAR($A16),MONTH($A16),1),IncDocDate,"&lt;="&amp;$A16,IncTaxCode2,$H$2),0),IF(IncTaxCount=2,SUMIFS(IncTax1,IncDocDate,"&gt;="&amp;DATE(YEAR($A16),MONTH($A16),1),IncDocDate,"&lt;="&amp;$A16,IncTaxCode1,$G$2,IncTaxCode2,$H$2),SUMIFS(IncTax1,IncDocDate,"&gt;="&amp;DATE(YEAR($A16),MONTH($A16),1),IncDocDate,"&lt;="&amp;$A16,IncTaxCode1,$G$2))+IF(IncTaxCount=2,SUMIFS(IncTax2,IncDocDate,"&gt;="&amp;DATE(YEAR($A16),MONTH($A16),1),IncDocDate,"&lt;="&amp;$A16,IncTaxCode1,$G$2,IncTaxCode2,$H$2),0)))</f>
        <v>0</v>
      </c>
      <c r="D16" s="189" cm="1">
        <f t="array" aca="1" ref="D16" ca="1">-IF($C$2=1,SUMIFS(ExpTax1,ExpDocDate,"&gt;="&amp;DATE(YEAR($A16),MONTH($A16),1),ExpDocDate,"&lt;="&amp;$A16,ExpTaxCode1,$G$2),IF($C$2=2,IF(ExpTaxCount=2,SUMIFS(ExpTax2,ExpDocDate,"&gt;="&amp;DATE(YEAR($A16),MONTH($A16),1),ExpDocDate,"&lt;="&amp;$A16,ExpTaxCode2,$H$2),0),IF(ExpTaxCount=2,SUMIFS(ExpTax1,ExpDocDate,"&gt;="&amp;DATE(YEAR($A16),MONTH($A16),1),ExpDocDate,"&lt;="&amp;$A16,ExpTaxCode1,$G$2,ExpTaxCode2,$H$2),SUMIFS(ExpTax1,ExpDocDate,"&gt;="&amp;DATE(YEAR($A16),MONTH($A16),1),ExpDocDate,"&lt;="&amp;$A16,ExpTaxCode1,$G$2))+IF(ExpTaxCount=2,SUMIFS(ExpTax2,ExpDocDate,"&gt;="&amp;DATE(YEAR($A16),MONTH($A16),1),ExpDocDate,"&lt;="&amp;$A16,ExpTaxCode1,$G$2,ExpTaxCode2,$H$2),0)))</f>
        <v>0</v>
      </c>
      <c r="E16" s="261" cm="1">
        <f t="array" ref="E16">IF(OR(ISBLANK($E$2)=FALSE,ISBLANK($F$2)=FALSE),0,IF($C$2=2,0,SUMIFS(IncExcl,IncDocDate,"&gt;="&amp;DATE(YEAR($A16),MONTH($A16),1),IncDocDate,"&lt;="&amp;$A16,IncAccount,BS!$A$51))+IF($C$2=1,0,SUMIFS(IncExcl,IncDocDate,"&gt;="&amp;DATE(YEAR($A16),MONTH($A16),1),IncDocDate,"&lt;="&amp;$A16,IncAccount,BS!$A$52))-IF($C$2=2,0,SUMIFS(ExpExcl,ExpDocDate,"&gt;="&amp;DATE(YEAR($A16),MONTH($A16),1),ExpDocDate,"&lt;="&amp;$A16,ExpAccount,BS!$A$51))-IF($C$2=1,0,SUMIFS(ExpExcl,ExpDocDate,"&gt;="&amp;DATE(YEAR($A16),MONTH($A16),1),ExpDocDate,"&lt;="&amp;$A16,ExpAccount,BS!$A$52)))</f>
        <v>0</v>
      </c>
      <c r="F16" s="263">
        <f t="shared" si="0"/>
        <v>0</v>
      </c>
      <c r="G16" s="262" cm="1">
        <f t="array" aca="1" ref="G16" ca="1">IF($C$2=1,SUMIFS(IncIncl,IncDocDate,"&gt;="&amp;DATE(YEAR($A16),MONTH($A16),1),IncDocDate,"&lt;="&amp;$A16,IncTaxCode1,$G$2),IF($C$2=2,SUMIFS(IncIncl,IncDocDate,"&gt;="&amp;DATE(YEAR($A16),MONTH($A16),1),IncDocDate,"&lt;="&amp;$A16,IncTaxCode2,$H$2),IF(IncTaxCount=2,SUMIFS(IncIncl,IncDocDate,"&gt;="&amp;DATE(YEAR($A16),MONTH($A16),1),IncDocDate,"&lt;="&amp;$A16,IncTaxCode1,$G$2,IncTaxCode2,$H$2),SUMIFS(IncIncl,IncDocDate,"&gt;="&amp;DATE(YEAR($A16),MONTH($A16),1),IncDocDate,"&lt;="&amp;$A16,IncTaxCode1,$G$2))))</f>
        <v>0</v>
      </c>
      <c r="H16" s="239" cm="1">
        <f t="array" aca="1" ref="H16" ca="1">-IF($C$2=1,SUMIFS(ExpIncl,ExpDocDate,"&gt;="&amp;DATE(YEAR($A16),MONTH($A16),1),ExpDocDate,"&lt;="&amp;$A16,ExpTaxCode1,$G$2),IF($C$2=2,SUMIFS(ExpIncl,ExpDocDate,"&gt;="&amp;DATE(YEAR($A16),MONTH($A16),1),ExpDocDate,"&lt;="&amp;$A16,ExpTaxCode2,$H$2),IF(ExpTaxCount=2,SUMIFS(ExpIncl,ExpDocDate,"&gt;="&amp;DATE(YEAR($A16),MONTH($A16),1),ExpDocDate,"&lt;="&amp;$A16,ExpTaxCode1,$G$2,ExpTaxCode2,$H$2),SUMIFS(ExpIncl,ExpDocDate,"&gt;="&amp;DATE(YEAR($A16),MONTH($A16),1),ExpDocDate,"&lt;="&amp;$A16,ExpTaxCode1,$G$2))))</f>
        <v>0</v>
      </c>
      <c r="I16" s="189">
        <f t="shared" ca="1" si="1"/>
        <v>0</v>
      </c>
      <c r="J16" s="264">
        <f t="shared" ca="1" si="2"/>
        <v>0</v>
      </c>
      <c r="K16" s="265">
        <f t="shared" ca="1" si="3"/>
        <v>0</v>
      </c>
    </row>
    <row r="17" spans="1:11" ht="15.95" customHeight="1" x14ac:dyDescent="0.25">
      <c r="A17" s="266">
        <f ca="1">OFFSET(IS!$B$4,0,ROW($B17)-ROW($B$5),1,1)</f>
        <v>45657</v>
      </c>
      <c r="B17" s="267">
        <f t="shared" si="4"/>
        <v>0</v>
      </c>
      <c r="C17" s="268" cm="1">
        <f t="array" aca="1" ref="C17" ca="1">IF($C$2=1,SUMIFS(IncTax1,IncDocDate,"&gt;="&amp;DATE(YEAR($A17),MONTH($A17),1),IncDocDate,"&lt;="&amp;$A17,IncTaxCode1,$G$2),IF($C$2=2,IF(IncTaxCount=2,SUMIFS(IncTax2,IncDocDate,"&gt;="&amp;DATE(YEAR($A17),MONTH($A17),1),IncDocDate,"&lt;="&amp;$A17,IncTaxCode2,$H$2),0),IF(IncTaxCount=2,SUMIFS(IncTax1,IncDocDate,"&gt;="&amp;DATE(YEAR($A17),MONTH($A17),1),IncDocDate,"&lt;="&amp;$A17,IncTaxCode1,$G$2,IncTaxCode2,$H$2),SUMIFS(IncTax1,IncDocDate,"&gt;="&amp;DATE(YEAR($A17),MONTH($A17),1),IncDocDate,"&lt;="&amp;$A17,IncTaxCode1,$G$2))+IF(IncTaxCount=2,SUMIFS(IncTax2,IncDocDate,"&gt;="&amp;DATE(YEAR($A17),MONTH($A17),1),IncDocDate,"&lt;="&amp;$A17,IncTaxCode1,$G$2,IncTaxCode2,$H$2),0)))</f>
        <v>0</v>
      </c>
      <c r="D17" s="241" cm="1">
        <f t="array" aca="1" ref="D17" ca="1">-IF($C$2=1,SUMIFS(ExpTax1,ExpDocDate,"&gt;="&amp;DATE(YEAR($A17),MONTH($A17),1),ExpDocDate,"&lt;="&amp;$A17,ExpTaxCode1,$G$2),IF($C$2=2,IF(ExpTaxCount=2,SUMIFS(ExpTax2,ExpDocDate,"&gt;="&amp;DATE(YEAR($A17),MONTH($A17),1),ExpDocDate,"&lt;="&amp;$A17,ExpTaxCode2,$H$2),0),IF(ExpTaxCount=2,SUMIFS(ExpTax1,ExpDocDate,"&gt;="&amp;DATE(YEAR($A17),MONTH($A17),1),ExpDocDate,"&lt;="&amp;$A17,ExpTaxCode1,$G$2,ExpTaxCode2,$H$2),SUMIFS(ExpTax1,ExpDocDate,"&gt;="&amp;DATE(YEAR($A17),MONTH($A17),1),ExpDocDate,"&lt;="&amp;$A17,ExpTaxCode1,$G$2))+IF(ExpTaxCount=2,SUMIFS(ExpTax2,ExpDocDate,"&gt;="&amp;DATE(YEAR($A17),MONTH($A17),1),ExpDocDate,"&lt;="&amp;$A17,ExpTaxCode1,$G$2,ExpTaxCode2,$H$2),0)))</f>
        <v>0</v>
      </c>
      <c r="E17" s="267" cm="1">
        <f t="array" ref="E17">IF(OR(ISBLANK($E$2)=FALSE,ISBLANK($F$2)=FALSE),0,IF($C$2=2,0,SUMIFS(IncExcl,IncDocDate,"&gt;="&amp;DATE(YEAR($A17),MONTH($A17),1),IncDocDate,"&lt;="&amp;$A17,IncAccount,BS!$A$51))+IF($C$2=1,0,SUMIFS(IncExcl,IncDocDate,"&gt;="&amp;DATE(YEAR($A17),MONTH($A17),1),IncDocDate,"&lt;="&amp;$A17,IncAccount,BS!$A$52))-IF($C$2=2,0,SUMIFS(ExpExcl,ExpDocDate,"&gt;="&amp;DATE(YEAR($A17),MONTH($A17),1),ExpDocDate,"&lt;="&amp;$A17,ExpAccount,BS!$A$51))-IF($C$2=1,0,SUMIFS(ExpExcl,ExpDocDate,"&gt;="&amp;DATE(YEAR($A17),MONTH($A17),1),ExpDocDate,"&lt;="&amp;$A17,ExpAccount,BS!$A$52)))</f>
        <v>0</v>
      </c>
      <c r="F17" s="269">
        <f t="shared" si="0"/>
        <v>0</v>
      </c>
      <c r="G17" s="268" cm="1">
        <f t="array" aca="1" ref="G17" ca="1">IF($C$2=1,SUMIFS(IncIncl,IncDocDate,"&gt;="&amp;DATE(YEAR($A17),MONTH($A17),1),IncDocDate,"&lt;="&amp;$A17,IncTaxCode1,$G$2),IF($C$2=2,SUMIFS(IncIncl,IncDocDate,"&gt;="&amp;DATE(YEAR($A17),MONTH($A17),1),IncDocDate,"&lt;="&amp;$A17,IncTaxCode2,$H$2),IF(IncTaxCount=2,SUMIFS(IncIncl,IncDocDate,"&gt;="&amp;DATE(YEAR($A17),MONTH($A17),1),IncDocDate,"&lt;="&amp;$A17,IncTaxCode1,$G$2,IncTaxCode2,$H$2),SUMIFS(IncIncl,IncDocDate,"&gt;="&amp;DATE(YEAR($A17),MONTH($A17),1),IncDocDate,"&lt;="&amp;$A17,IncTaxCode1,$G$2))))</f>
        <v>0</v>
      </c>
      <c r="H17" s="242" cm="1">
        <f t="array" aca="1" ref="H17" ca="1">-IF($C$2=1,SUMIFS(ExpIncl,ExpDocDate,"&gt;="&amp;DATE(YEAR($A17),MONTH($A17),1),ExpDocDate,"&lt;="&amp;$A17,ExpTaxCode1,$G$2),IF($C$2=2,SUMIFS(ExpIncl,ExpDocDate,"&gt;="&amp;DATE(YEAR($A17),MONTH($A17),1),ExpDocDate,"&lt;="&amp;$A17,ExpTaxCode2,$H$2),IF(ExpTaxCount=2,SUMIFS(ExpIncl,ExpDocDate,"&gt;="&amp;DATE(YEAR($A17),MONTH($A17),1),ExpDocDate,"&lt;="&amp;$A17,ExpTaxCode1,$G$2,ExpTaxCode2,$H$2),SUMIFS(ExpIncl,ExpDocDate,"&gt;="&amp;DATE(YEAR($A17),MONTH($A17),1),ExpDocDate,"&lt;="&amp;$A17,ExpTaxCode1,$G$2))))</f>
        <v>0</v>
      </c>
      <c r="I17" s="241">
        <f t="shared" ca="1" si="1"/>
        <v>0</v>
      </c>
      <c r="J17" s="270">
        <f t="shared" ca="1" si="2"/>
        <v>0</v>
      </c>
      <c r="K17" s="271">
        <f t="shared" ca="1" si="3"/>
        <v>0</v>
      </c>
    </row>
  </sheetData>
  <sheetProtection autoFilter="0"/>
  <mergeCells count="3">
    <mergeCell ref="B4:F4"/>
    <mergeCell ref="G4:H4"/>
    <mergeCell ref="J4:K4"/>
  </mergeCells>
  <dataValidations count="2">
    <dataValidation type="list" allowBlank="1" showInputMessage="1" showErrorMessage="1" errorTitle="Invalid Data" error="Select a valid item from the list box." sqref="E2:F2" xr:uid="{00000000-0002-0000-0F00-000000000000}">
      <formula1>TaxCode</formula1>
    </dataValidation>
    <dataValidation type="list" allowBlank="1" showInputMessage="1" showErrorMessage="1" errorTitle="Invalid Data" error="Select a valid item from the list box." sqref="D2" xr:uid="{00000000-0002-0000-0F00-000001000000}">
      <formula1>"National/Federal,State,Both"</formula1>
    </dataValidation>
  </dataValidations>
  <pageMargins left="0.59055118110236227" right="0.59055118110236227" top="0.59055118110236227" bottom="0.59055118110236227" header="0.39370078740157483" footer="0.39370078740157483"/>
  <pageSetup paperSize="9" scale="85" orientation="landscape"/>
  <headerFooter alignWithMargins="0">
    <oddFooter>Page &amp;P of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570312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499"/>
  <sheetViews>
    <sheetView zoomScale="130" zoomScaleNormal="130" workbookViewId="0">
      <pane ySplit="3" topLeftCell="A426" activePane="bottomLeft" state="frozen"/>
      <selection pane="bottomLeft"/>
    </sheetView>
  </sheetViews>
  <sheetFormatPr defaultColWidth="9.140625" defaultRowHeight="12.75" x14ac:dyDescent="0.2"/>
  <cols>
    <col min="1" max="1" width="109.85546875" style="294" customWidth="1"/>
    <col min="2" max="2" width="50.85546875" style="290" customWidth="1"/>
    <col min="3" max="25" width="20.5703125" style="290" customWidth="1"/>
    <col min="26" max="16384" width="9.140625" style="290"/>
  </cols>
  <sheetData>
    <row r="1" spans="1:1" ht="15.75" x14ac:dyDescent="0.25">
      <c r="A1" s="289" t="s">
        <v>486</v>
      </c>
    </row>
    <row r="2" spans="1:1" ht="15" customHeight="1" x14ac:dyDescent="0.2">
      <c r="A2" s="291" t="s">
        <v>8</v>
      </c>
    </row>
    <row r="3" spans="1:1" ht="15" customHeight="1" x14ac:dyDescent="0.2">
      <c r="A3" s="292" t="s">
        <v>10</v>
      </c>
    </row>
    <row r="4" spans="1:1" x14ac:dyDescent="0.2">
      <c r="A4" s="293"/>
    </row>
    <row r="5" spans="1:1" ht="63.75" x14ac:dyDescent="0.2">
      <c r="A5" s="294" t="s">
        <v>531</v>
      </c>
    </row>
    <row r="7" spans="1:1" ht="38.25" x14ac:dyDescent="0.2">
      <c r="A7" s="295" t="s">
        <v>339</v>
      </c>
    </row>
    <row r="9" spans="1:1" x14ac:dyDescent="0.2">
      <c r="A9" s="294" t="s">
        <v>340</v>
      </c>
    </row>
    <row r="10" spans="1:1" ht="63.75" x14ac:dyDescent="0.2">
      <c r="A10" s="296" t="s">
        <v>556</v>
      </c>
    </row>
    <row r="11" spans="1:1" ht="38.25" x14ac:dyDescent="0.2">
      <c r="A11" s="294" t="s">
        <v>557</v>
      </c>
    </row>
    <row r="12" spans="1:1" ht="51" x14ac:dyDescent="0.2">
      <c r="A12" s="294" t="s">
        <v>558</v>
      </c>
    </row>
    <row r="13" spans="1:1" ht="38.25" x14ac:dyDescent="0.2">
      <c r="A13" s="294" t="s">
        <v>559</v>
      </c>
    </row>
    <row r="14" spans="1:1" ht="25.5" x14ac:dyDescent="0.2">
      <c r="A14" s="296" t="s">
        <v>585</v>
      </c>
    </row>
    <row r="15" spans="1:1" ht="25.5" x14ac:dyDescent="0.2">
      <c r="A15" s="294" t="s">
        <v>560</v>
      </c>
    </row>
    <row r="16" spans="1:1" ht="25.5" x14ac:dyDescent="0.2">
      <c r="A16" s="294" t="s">
        <v>586</v>
      </c>
    </row>
    <row r="17" spans="1:1" ht="38.25" x14ac:dyDescent="0.2">
      <c r="A17" s="296" t="s">
        <v>561</v>
      </c>
    </row>
    <row r="18" spans="1:1" ht="38.25" x14ac:dyDescent="0.2">
      <c r="A18" s="294" t="s">
        <v>606</v>
      </c>
    </row>
    <row r="19" spans="1:1" ht="25.5" x14ac:dyDescent="0.2">
      <c r="A19" s="294" t="s">
        <v>562</v>
      </c>
    </row>
    <row r="20" spans="1:1" ht="38.25" x14ac:dyDescent="0.2">
      <c r="A20" s="294" t="s">
        <v>563</v>
      </c>
    </row>
    <row r="21" spans="1:1" ht="25.5" x14ac:dyDescent="0.2">
      <c r="A21" s="294" t="s">
        <v>564</v>
      </c>
    </row>
    <row r="22" spans="1:1" ht="38.25" x14ac:dyDescent="0.2">
      <c r="A22" s="294" t="s">
        <v>607</v>
      </c>
    </row>
    <row r="23" spans="1:1" x14ac:dyDescent="0.2">
      <c r="A23" s="296"/>
    </row>
    <row r="24" spans="1:1" x14ac:dyDescent="0.2">
      <c r="A24" s="296" t="s">
        <v>80</v>
      </c>
    </row>
    <row r="26" spans="1:1" ht="51" x14ac:dyDescent="0.2">
      <c r="A26" s="294" t="s">
        <v>532</v>
      </c>
    </row>
    <row r="28" spans="1:1" ht="38.25" x14ac:dyDescent="0.2">
      <c r="A28" s="294" t="s">
        <v>608</v>
      </c>
    </row>
    <row r="30" spans="1:1" ht="51" x14ac:dyDescent="0.2">
      <c r="A30" s="295" t="s">
        <v>458</v>
      </c>
    </row>
    <row r="32" spans="1:1" ht="51" x14ac:dyDescent="0.2">
      <c r="A32" s="294" t="s">
        <v>459</v>
      </c>
    </row>
    <row r="34" spans="1:1" ht="51" x14ac:dyDescent="0.2">
      <c r="A34" s="294" t="s">
        <v>345</v>
      </c>
    </row>
    <row r="36" spans="1:1" ht="51" x14ac:dyDescent="0.2">
      <c r="A36" s="295" t="s">
        <v>346</v>
      </c>
    </row>
    <row r="38" spans="1:1" ht="38.25" x14ac:dyDescent="0.2">
      <c r="A38" s="294" t="s">
        <v>460</v>
      </c>
    </row>
    <row r="40" spans="1:1" s="297" customFormat="1" x14ac:dyDescent="0.2">
      <c r="A40" s="295" t="s">
        <v>348</v>
      </c>
    </row>
    <row r="42" spans="1:1" ht="51" x14ac:dyDescent="0.2">
      <c r="A42" s="294" t="s">
        <v>349</v>
      </c>
    </row>
    <row r="44" spans="1:1" ht="51" x14ac:dyDescent="0.2">
      <c r="A44" s="294" t="s">
        <v>644</v>
      </c>
    </row>
    <row r="46" spans="1:1" ht="63.75" x14ac:dyDescent="0.2">
      <c r="A46" s="294" t="s">
        <v>645</v>
      </c>
    </row>
    <row r="48" spans="1:1" ht="25.5" x14ac:dyDescent="0.2">
      <c r="A48" s="294" t="s">
        <v>646</v>
      </c>
    </row>
    <row r="50" spans="1:1" ht="76.5" x14ac:dyDescent="0.2">
      <c r="A50" s="294" t="s">
        <v>647</v>
      </c>
    </row>
    <row r="52" spans="1:1" ht="51" x14ac:dyDescent="0.2">
      <c r="A52" s="294" t="s">
        <v>461</v>
      </c>
    </row>
    <row r="54" spans="1:1" x14ac:dyDescent="0.2">
      <c r="A54" s="295" t="s">
        <v>55</v>
      </c>
    </row>
    <row r="56" spans="1:1" ht="51" x14ac:dyDescent="0.2">
      <c r="A56" s="294" t="s">
        <v>587</v>
      </c>
    </row>
    <row r="58" spans="1:1" ht="51" x14ac:dyDescent="0.2">
      <c r="A58" s="295" t="s">
        <v>350</v>
      </c>
    </row>
    <row r="60" spans="1:1" ht="51" x14ac:dyDescent="0.2">
      <c r="A60" s="294" t="s">
        <v>351</v>
      </c>
    </row>
    <row r="62" spans="1:1" ht="25.5" x14ac:dyDescent="0.2">
      <c r="A62" s="295" t="s">
        <v>352</v>
      </c>
    </row>
    <row r="64" spans="1:1" ht="63.75" x14ac:dyDescent="0.2">
      <c r="A64" s="294" t="s">
        <v>588</v>
      </c>
    </row>
    <row r="66" spans="1:1" ht="51" x14ac:dyDescent="0.2">
      <c r="A66" s="294" t="s">
        <v>353</v>
      </c>
    </row>
    <row r="68" spans="1:1" ht="38.25" x14ac:dyDescent="0.2">
      <c r="A68" s="295" t="s">
        <v>462</v>
      </c>
    </row>
    <row r="70" spans="1:1" ht="51" x14ac:dyDescent="0.2">
      <c r="A70" s="295" t="s">
        <v>450</v>
      </c>
    </row>
    <row r="72" spans="1:1" x14ac:dyDescent="0.2">
      <c r="A72" s="295" t="s">
        <v>510</v>
      </c>
    </row>
    <row r="74" spans="1:1" ht="38.25" x14ac:dyDescent="0.2">
      <c r="A74" s="294" t="s">
        <v>533</v>
      </c>
    </row>
    <row r="76" spans="1:1" ht="25.5" x14ac:dyDescent="0.2">
      <c r="A76" s="295" t="s">
        <v>534</v>
      </c>
    </row>
    <row r="78" spans="1:1" x14ac:dyDescent="0.2">
      <c r="A78" s="295" t="s">
        <v>61</v>
      </c>
    </row>
    <row r="80" spans="1:1" ht="38.25" x14ac:dyDescent="0.2">
      <c r="A80" s="294" t="s">
        <v>354</v>
      </c>
    </row>
    <row r="82" spans="1:1" x14ac:dyDescent="0.2">
      <c r="A82" s="296" t="s">
        <v>356</v>
      </c>
    </row>
    <row r="84" spans="1:1" ht="38.25" x14ac:dyDescent="0.2">
      <c r="A84" s="294" t="s">
        <v>369</v>
      </c>
    </row>
    <row r="86" spans="1:1" ht="63.75" x14ac:dyDescent="0.2">
      <c r="A86" s="295" t="s">
        <v>357</v>
      </c>
    </row>
    <row r="87" spans="1:1" x14ac:dyDescent="0.2">
      <c r="A87" s="295"/>
    </row>
    <row r="88" spans="1:1" ht="25.5" x14ac:dyDescent="0.2">
      <c r="A88" s="295" t="s">
        <v>370</v>
      </c>
    </row>
    <row r="90" spans="1:1" ht="51" x14ac:dyDescent="0.2">
      <c r="A90" s="294" t="s">
        <v>451</v>
      </c>
    </row>
    <row r="92" spans="1:1" ht="51" x14ac:dyDescent="0.2">
      <c r="A92" s="295" t="s">
        <v>358</v>
      </c>
    </row>
    <row r="94" spans="1:1" ht="63.75" x14ac:dyDescent="0.2">
      <c r="A94" s="294" t="s">
        <v>464</v>
      </c>
    </row>
    <row r="95" spans="1:1" ht="51" x14ac:dyDescent="0.2">
      <c r="A95" s="295" t="s">
        <v>359</v>
      </c>
    </row>
    <row r="96" spans="1:1" ht="51" x14ac:dyDescent="0.2">
      <c r="A96" s="295" t="s">
        <v>360</v>
      </c>
    </row>
    <row r="97" spans="1:1" ht="38.25" x14ac:dyDescent="0.2">
      <c r="A97" s="295" t="s">
        <v>361</v>
      </c>
    </row>
    <row r="98" spans="1:1" ht="51" x14ac:dyDescent="0.2">
      <c r="A98" s="295" t="s">
        <v>362</v>
      </c>
    </row>
    <row r="99" spans="1:1" ht="76.5" x14ac:dyDescent="0.2">
      <c r="A99" s="295" t="s">
        <v>366</v>
      </c>
    </row>
    <row r="100" spans="1:1" ht="51" x14ac:dyDescent="0.2">
      <c r="A100" s="295" t="s">
        <v>363</v>
      </c>
    </row>
    <row r="101" spans="1:1" ht="51" x14ac:dyDescent="0.2">
      <c r="A101" s="295" t="s">
        <v>364</v>
      </c>
    </row>
    <row r="102" spans="1:1" ht="38.25" x14ac:dyDescent="0.2">
      <c r="A102" s="295" t="s">
        <v>365</v>
      </c>
    </row>
    <row r="103" spans="1:1" ht="25.5" x14ac:dyDescent="0.2">
      <c r="A103" s="295" t="s">
        <v>367</v>
      </c>
    </row>
    <row r="104" spans="1:1" x14ac:dyDescent="0.2">
      <c r="A104" s="295"/>
    </row>
    <row r="105" spans="1:1" ht="25.5" x14ac:dyDescent="0.2">
      <c r="A105" s="294" t="s">
        <v>465</v>
      </c>
    </row>
    <row r="107" spans="1:1" ht="25.5" x14ac:dyDescent="0.2">
      <c r="A107" s="295" t="s">
        <v>368</v>
      </c>
    </row>
    <row r="108" spans="1:1" x14ac:dyDescent="0.2">
      <c r="A108" s="295"/>
    </row>
    <row r="109" spans="1:1" x14ac:dyDescent="0.2">
      <c r="A109" s="296" t="s">
        <v>371</v>
      </c>
    </row>
    <row r="111" spans="1:1" ht="51" x14ac:dyDescent="0.2">
      <c r="A111" s="294" t="s">
        <v>466</v>
      </c>
    </row>
    <row r="113" spans="1:1" x14ac:dyDescent="0.2">
      <c r="A113" s="295" t="s">
        <v>355</v>
      </c>
    </row>
    <row r="115" spans="1:1" ht="51" x14ac:dyDescent="0.2">
      <c r="A115" s="294" t="s">
        <v>372</v>
      </c>
    </row>
    <row r="117" spans="1:1" ht="51" x14ac:dyDescent="0.2">
      <c r="A117" s="295" t="s">
        <v>482</v>
      </c>
    </row>
    <row r="119" spans="1:1" ht="38.25" x14ac:dyDescent="0.2">
      <c r="A119" s="294" t="s">
        <v>373</v>
      </c>
    </row>
    <row r="121" spans="1:1" ht="63.75" x14ac:dyDescent="0.2">
      <c r="A121" s="294" t="s">
        <v>467</v>
      </c>
    </row>
    <row r="123" spans="1:1" ht="38.25" x14ac:dyDescent="0.2">
      <c r="A123" s="295" t="s">
        <v>374</v>
      </c>
    </row>
    <row r="124" spans="1:1" x14ac:dyDescent="0.2">
      <c r="A124" s="295"/>
    </row>
    <row r="125" spans="1:1" ht="38.25" x14ac:dyDescent="0.2">
      <c r="A125" s="295" t="s">
        <v>468</v>
      </c>
    </row>
    <row r="127" spans="1:1" x14ac:dyDescent="0.2">
      <c r="A127" s="295" t="s">
        <v>375</v>
      </c>
    </row>
    <row r="129" spans="1:1" ht="51" x14ac:dyDescent="0.2">
      <c r="A129" s="294" t="s">
        <v>589</v>
      </c>
    </row>
    <row r="131" spans="1:1" ht="51" x14ac:dyDescent="0.2">
      <c r="A131" s="295" t="s">
        <v>452</v>
      </c>
    </row>
    <row r="133" spans="1:1" ht="51" x14ac:dyDescent="0.2">
      <c r="A133" s="294" t="s">
        <v>453</v>
      </c>
    </row>
    <row r="135" spans="1:1" ht="25.5" x14ac:dyDescent="0.2">
      <c r="A135" s="294" t="s">
        <v>376</v>
      </c>
    </row>
    <row r="136" spans="1:1" x14ac:dyDescent="0.2">
      <c r="A136" s="295" t="s">
        <v>377</v>
      </c>
    </row>
    <row r="137" spans="1:1" x14ac:dyDescent="0.2">
      <c r="A137" s="295" t="s">
        <v>378</v>
      </c>
    </row>
    <row r="138" spans="1:1" ht="38.25" x14ac:dyDescent="0.2">
      <c r="A138" s="295" t="s">
        <v>383</v>
      </c>
    </row>
    <row r="139" spans="1:1" ht="76.5" x14ac:dyDescent="0.2">
      <c r="A139" s="295" t="s">
        <v>379</v>
      </c>
    </row>
    <row r="140" spans="1:1" x14ac:dyDescent="0.2">
      <c r="A140" s="295"/>
    </row>
    <row r="141" spans="1:1" ht="38.25" x14ac:dyDescent="0.2">
      <c r="A141" s="295" t="s">
        <v>380</v>
      </c>
    </row>
    <row r="142" spans="1:1" x14ac:dyDescent="0.2">
      <c r="A142" s="295"/>
    </row>
    <row r="143" spans="1:1" ht="51" x14ac:dyDescent="0.2">
      <c r="A143" s="295" t="s">
        <v>382</v>
      </c>
    </row>
    <row r="144" spans="1:1" x14ac:dyDescent="0.2">
      <c r="A144" s="295"/>
    </row>
    <row r="145" spans="1:1" ht="51" x14ac:dyDescent="0.2">
      <c r="A145" s="295" t="s">
        <v>469</v>
      </c>
    </row>
    <row r="147" spans="1:1" s="297" customFormat="1" x14ac:dyDescent="0.2">
      <c r="A147" s="295" t="s">
        <v>44</v>
      </c>
    </row>
    <row r="149" spans="1:1" ht="51" x14ac:dyDescent="0.2">
      <c r="A149" s="294" t="s">
        <v>381</v>
      </c>
    </row>
    <row r="151" spans="1:1" ht="38.25" x14ac:dyDescent="0.2">
      <c r="A151" s="295" t="s">
        <v>454</v>
      </c>
    </row>
    <row r="153" spans="1:1" s="297" customFormat="1" x14ac:dyDescent="0.2">
      <c r="A153" s="295" t="s">
        <v>384</v>
      </c>
    </row>
    <row r="154" spans="1:1" x14ac:dyDescent="0.2">
      <c r="A154" s="295"/>
    </row>
    <row r="155" spans="1:1" ht="51" x14ac:dyDescent="0.2">
      <c r="A155" s="294" t="s">
        <v>470</v>
      </c>
    </row>
    <row r="157" spans="1:1" ht="38.25" x14ac:dyDescent="0.2">
      <c r="A157" s="294" t="s">
        <v>385</v>
      </c>
    </row>
    <row r="159" spans="1:1" ht="51" x14ac:dyDescent="0.2">
      <c r="A159" s="295" t="s">
        <v>386</v>
      </c>
    </row>
    <row r="161" spans="1:1" s="298" customFormat="1" ht="38.25" x14ac:dyDescent="0.2">
      <c r="A161" s="295" t="s">
        <v>387</v>
      </c>
    </row>
    <row r="163" spans="1:1" ht="76.5" x14ac:dyDescent="0.2">
      <c r="A163" s="294" t="s">
        <v>590</v>
      </c>
    </row>
    <row r="165" spans="1:1" ht="51" x14ac:dyDescent="0.2">
      <c r="A165" s="295" t="s">
        <v>591</v>
      </c>
    </row>
    <row r="167" spans="1:1" ht="51" x14ac:dyDescent="0.2">
      <c r="A167" s="294" t="s">
        <v>388</v>
      </c>
    </row>
    <row r="169" spans="1:1" ht="51" x14ac:dyDescent="0.2">
      <c r="A169" s="295" t="s">
        <v>471</v>
      </c>
    </row>
    <row r="171" spans="1:1" ht="63.75" x14ac:dyDescent="0.2">
      <c r="A171" s="294" t="s">
        <v>472</v>
      </c>
    </row>
    <row r="173" spans="1:1" ht="63.75" x14ac:dyDescent="0.2">
      <c r="A173" s="295" t="s">
        <v>592</v>
      </c>
    </row>
    <row r="175" spans="1:1" ht="63.75" x14ac:dyDescent="0.2">
      <c r="A175" s="294" t="s">
        <v>473</v>
      </c>
    </row>
    <row r="177" spans="1:1" ht="63.75" x14ac:dyDescent="0.2">
      <c r="A177" s="295" t="s">
        <v>474</v>
      </c>
    </row>
    <row r="179" spans="1:1" ht="51" x14ac:dyDescent="0.2">
      <c r="A179" s="295" t="s">
        <v>475</v>
      </c>
    </row>
    <row r="181" spans="1:1" x14ac:dyDescent="0.2">
      <c r="A181" s="295" t="s">
        <v>2</v>
      </c>
    </row>
    <row r="182" spans="1:1" x14ac:dyDescent="0.2">
      <c r="A182" s="295"/>
    </row>
    <row r="183" spans="1:1" ht="51" x14ac:dyDescent="0.2">
      <c r="A183" s="294" t="s">
        <v>390</v>
      </c>
    </row>
    <row r="185" spans="1:1" ht="51" customHeight="1" x14ac:dyDescent="0.2">
      <c r="A185" s="295" t="s">
        <v>391</v>
      </c>
    </row>
    <row r="187" spans="1:1" ht="38.25" x14ac:dyDescent="0.2">
      <c r="A187" s="294" t="s">
        <v>392</v>
      </c>
    </row>
    <row r="189" spans="1:1" ht="38.25" x14ac:dyDescent="0.2">
      <c r="A189" s="294" t="s">
        <v>393</v>
      </c>
    </row>
    <row r="191" spans="1:1" x14ac:dyDescent="0.2">
      <c r="A191" s="295" t="s">
        <v>394</v>
      </c>
    </row>
    <row r="193" spans="1:1" ht="38.25" x14ac:dyDescent="0.2">
      <c r="A193" s="294" t="s">
        <v>395</v>
      </c>
    </row>
    <row r="195" spans="1:1" ht="38.25" x14ac:dyDescent="0.2">
      <c r="A195" s="294" t="s">
        <v>396</v>
      </c>
    </row>
    <row r="197" spans="1:1" ht="25.5" x14ac:dyDescent="0.2">
      <c r="A197" s="295" t="s">
        <v>397</v>
      </c>
    </row>
    <row r="199" spans="1:1" s="298" customFormat="1" x14ac:dyDescent="0.2">
      <c r="A199" s="296" t="s">
        <v>535</v>
      </c>
    </row>
    <row r="201" spans="1:1" ht="63.75" x14ac:dyDescent="0.25">
      <c r="A201" s="299" t="s">
        <v>536</v>
      </c>
    </row>
    <row r="202" spans="1:1" x14ac:dyDescent="0.25">
      <c r="A202" s="299"/>
    </row>
    <row r="203" spans="1:1" ht="63.75" x14ac:dyDescent="0.2">
      <c r="A203" s="295" t="s">
        <v>551</v>
      </c>
    </row>
    <row r="204" spans="1:1" x14ac:dyDescent="0.25">
      <c r="A204" s="299"/>
    </row>
    <row r="205" spans="1:1" ht="38.25" x14ac:dyDescent="0.25">
      <c r="A205" s="299" t="s">
        <v>537</v>
      </c>
    </row>
    <row r="206" spans="1:1" x14ac:dyDescent="0.25">
      <c r="A206" s="299"/>
    </row>
    <row r="207" spans="1:1" ht="76.5" x14ac:dyDescent="0.25">
      <c r="A207" s="300" t="s">
        <v>538</v>
      </c>
    </row>
    <row r="208" spans="1:1" x14ac:dyDescent="0.25">
      <c r="A208" s="299"/>
    </row>
    <row r="209" spans="1:1" ht="38.25" x14ac:dyDescent="0.25">
      <c r="A209" s="300" t="s">
        <v>552</v>
      </c>
    </row>
    <row r="210" spans="1:1" x14ac:dyDescent="0.25">
      <c r="A210" s="299"/>
    </row>
    <row r="211" spans="1:1" ht="38.25" x14ac:dyDescent="0.2">
      <c r="A211" s="294" t="s">
        <v>539</v>
      </c>
    </row>
    <row r="213" spans="1:1" ht="38.25" x14ac:dyDescent="0.2">
      <c r="A213" s="294" t="s">
        <v>540</v>
      </c>
    </row>
    <row r="215" spans="1:1" x14ac:dyDescent="0.2">
      <c r="A215" s="296" t="s">
        <v>1</v>
      </c>
    </row>
    <row r="217" spans="1:1" ht="38.25" x14ac:dyDescent="0.2">
      <c r="A217" s="294" t="s">
        <v>399</v>
      </c>
    </row>
    <row r="219" spans="1:1" ht="63.75" customHeight="1" x14ac:dyDescent="0.2">
      <c r="A219" s="295" t="s">
        <v>400</v>
      </c>
    </row>
    <row r="221" spans="1:1" x14ac:dyDescent="0.2">
      <c r="A221" s="294" t="s">
        <v>398</v>
      </c>
    </row>
    <row r="222" spans="1:1" ht="38.25" x14ac:dyDescent="0.2">
      <c r="A222" s="296" t="s">
        <v>565</v>
      </c>
    </row>
    <row r="223" spans="1:1" ht="38.25" x14ac:dyDescent="0.2">
      <c r="A223" s="296" t="s">
        <v>566</v>
      </c>
    </row>
    <row r="224" spans="1:1" ht="38.25" x14ac:dyDescent="0.2">
      <c r="A224" s="296" t="s">
        <v>567</v>
      </c>
    </row>
    <row r="225" spans="1:1" x14ac:dyDescent="0.2">
      <c r="A225" s="296" t="s">
        <v>568</v>
      </c>
    </row>
    <row r="226" spans="1:1" ht="51" x14ac:dyDescent="0.2">
      <c r="A226" s="296" t="s">
        <v>569</v>
      </c>
    </row>
    <row r="227" spans="1:1" ht="51" x14ac:dyDescent="0.2">
      <c r="A227" s="294" t="s">
        <v>609</v>
      </c>
    </row>
    <row r="228" spans="1:1" ht="51" x14ac:dyDescent="0.2">
      <c r="A228" s="294" t="s">
        <v>610</v>
      </c>
    </row>
    <row r="229" spans="1:1" ht="38.25" x14ac:dyDescent="0.2">
      <c r="A229" s="294" t="s">
        <v>570</v>
      </c>
    </row>
    <row r="230" spans="1:1" ht="38.25" x14ac:dyDescent="0.2">
      <c r="A230" s="294" t="s">
        <v>571</v>
      </c>
    </row>
    <row r="231" spans="1:1" x14ac:dyDescent="0.2">
      <c r="A231" s="294" t="s">
        <v>572</v>
      </c>
    </row>
    <row r="232" spans="1:1" ht="51" x14ac:dyDescent="0.2">
      <c r="A232" s="296" t="s">
        <v>573</v>
      </c>
    </row>
    <row r="233" spans="1:1" x14ac:dyDescent="0.2">
      <c r="A233" s="296"/>
    </row>
    <row r="234" spans="1:1" x14ac:dyDescent="0.2">
      <c r="A234" s="294" t="s">
        <v>401</v>
      </c>
    </row>
    <row r="235" spans="1:1" ht="51" x14ac:dyDescent="0.2">
      <c r="A235" s="294" t="s">
        <v>613</v>
      </c>
    </row>
    <row r="236" spans="1:1" ht="51" x14ac:dyDescent="0.2">
      <c r="A236" s="296" t="s">
        <v>574</v>
      </c>
    </row>
    <row r="237" spans="1:1" ht="38.25" x14ac:dyDescent="0.2">
      <c r="A237" s="294" t="s">
        <v>611</v>
      </c>
    </row>
    <row r="238" spans="1:1" ht="38.25" x14ac:dyDescent="0.2">
      <c r="A238" s="294" t="s">
        <v>612</v>
      </c>
    </row>
    <row r="239" spans="1:1" x14ac:dyDescent="0.2">
      <c r="A239" s="296" t="s">
        <v>575</v>
      </c>
    </row>
    <row r="240" spans="1:1" ht="25.5" x14ac:dyDescent="0.2">
      <c r="A240" s="294" t="s">
        <v>576</v>
      </c>
    </row>
    <row r="241" spans="1:1" ht="25.5" x14ac:dyDescent="0.2">
      <c r="A241" s="294" t="s">
        <v>577</v>
      </c>
    </row>
    <row r="242" spans="1:1" ht="51" x14ac:dyDescent="0.2">
      <c r="A242" s="294" t="s">
        <v>578</v>
      </c>
    </row>
    <row r="244" spans="1:1" ht="89.25" x14ac:dyDescent="0.2">
      <c r="A244" s="295" t="s">
        <v>406</v>
      </c>
    </row>
    <row r="245" spans="1:1" x14ac:dyDescent="0.2">
      <c r="A245" s="295"/>
    </row>
    <row r="246" spans="1:1" ht="38.25" x14ac:dyDescent="0.2">
      <c r="A246" s="294" t="s">
        <v>407</v>
      </c>
    </row>
    <row r="248" spans="1:1" s="297" customFormat="1" x14ac:dyDescent="0.2">
      <c r="A248" s="295" t="s">
        <v>403</v>
      </c>
    </row>
    <row r="250" spans="1:1" ht="38.25" x14ac:dyDescent="0.2">
      <c r="A250" s="294" t="s">
        <v>476</v>
      </c>
    </row>
    <row r="252" spans="1:1" ht="51" x14ac:dyDescent="0.2">
      <c r="A252" s="295" t="s">
        <v>402</v>
      </c>
    </row>
    <row r="253" spans="1:1" x14ac:dyDescent="0.2">
      <c r="A253" s="295"/>
    </row>
    <row r="254" spans="1:1" ht="38.25" x14ac:dyDescent="0.2">
      <c r="A254" s="295" t="s">
        <v>404</v>
      </c>
    </row>
    <row r="256" spans="1:1" ht="51" x14ac:dyDescent="0.2">
      <c r="A256" s="294" t="s">
        <v>405</v>
      </c>
    </row>
    <row r="258" spans="1:1" s="297" customFormat="1" x14ac:dyDescent="0.2">
      <c r="A258" s="295" t="s">
        <v>408</v>
      </c>
    </row>
    <row r="260" spans="1:1" ht="51" x14ac:dyDescent="0.2">
      <c r="A260" s="294" t="s">
        <v>477</v>
      </c>
    </row>
    <row r="262" spans="1:1" ht="51" x14ac:dyDescent="0.2">
      <c r="A262" s="294" t="s">
        <v>478</v>
      </c>
    </row>
    <row r="264" spans="1:1" s="297" customFormat="1" x14ac:dyDescent="0.2">
      <c r="A264" s="295" t="s">
        <v>409</v>
      </c>
    </row>
    <row r="265" spans="1:1" x14ac:dyDescent="0.2">
      <c r="A265" s="295"/>
    </row>
    <row r="266" spans="1:1" ht="38.25" x14ac:dyDescent="0.2">
      <c r="A266" s="294" t="s">
        <v>485</v>
      </c>
    </row>
    <row r="268" spans="1:1" ht="63.75" x14ac:dyDescent="0.2">
      <c r="A268" s="294" t="s">
        <v>614</v>
      </c>
    </row>
    <row r="270" spans="1:1" s="297" customFormat="1" x14ac:dyDescent="0.2">
      <c r="A270" s="295" t="s">
        <v>410</v>
      </c>
    </row>
    <row r="272" spans="1:1" ht="51" x14ac:dyDescent="0.2">
      <c r="A272" s="294" t="s">
        <v>615</v>
      </c>
    </row>
    <row r="274" spans="1:1" ht="38.25" x14ac:dyDescent="0.2">
      <c r="A274" s="295" t="s">
        <v>411</v>
      </c>
    </row>
    <row r="275" spans="1:1" x14ac:dyDescent="0.2">
      <c r="A275" s="295"/>
    </row>
    <row r="276" spans="1:1" x14ac:dyDescent="0.2">
      <c r="A276" s="295" t="s">
        <v>3</v>
      </c>
    </row>
    <row r="278" spans="1:1" ht="51" x14ac:dyDescent="0.2">
      <c r="A278" s="294" t="s">
        <v>616</v>
      </c>
    </row>
    <row r="280" spans="1:1" ht="25.5" x14ac:dyDescent="0.2">
      <c r="A280" s="295" t="s">
        <v>617</v>
      </c>
    </row>
    <row r="281" spans="1:1" x14ac:dyDescent="0.2">
      <c r="A281" s="295"/>
    </row>
    <row r="282" spans="1:1" ht="63.75" x14ac:dyDescent="0.2">
      <c r="A282" s="295" t="s">
        <v>643</v>
      </c>
    </row>
    <row r="284" spans="1:1" x14ac:dyDescent="0.25">
      <c r="A284" s="301" t="s">
        <v>541</v>
      </c>
    </row>
    <row r="285" spans="1:1" x14ac:dyDescent="0.25">
      <c r="A285" s="299"/>
    </row>
    <row r="286" spans="1:1" ht="51" x14ac:dyDescent="0.25">
      <c r="A286" s="299" t="s">
        <v>618</v>
      </c>
    </row>
    <row r="287" spans="1:1" x14ac:dyDescent="0.25">
      <c r="A287" s="299"/>
    </row>
    <row r="288" spans="1:1" ht="38.25" x14ac:dyDescent="0.25">
      <c r="A288" s="299" t="s">
        <v>619</v>
      </c>
    </row>
    <row r="289" spans="1:1" x14ac:dyDescent="0.25">
      <c r="A289" s="299"/>
    </row>
    <row r="290" spans="1:1" ht="51" x14ac:dyDescent="0.25">
      <c r="A290" s="299" t="s">
        <v>620</v>
      </c>
    </row>
    <row r="291" spans="1:1" x14ac:dyDescent="0.25">
      <c r="A291" s="299"/>
    </row>
    <row r="292" spans="1:1" ht="38.25" x14ac:dyDescent="0.25">
      <c r="A292" s="299" t="s">
        <v>553</v>
      </c>
    </row>
    <row r="293" spans="1:1" x14ac:dyDescent="0.25">
      <c r="A293" s="299"/>
    </row>
    <row r="294" spans="1:1" ht="25.5" x14ac:dyDescent="0.2">
      <c r="A294" s="295" t="s">
        <v>549</v>
      </c>
    </row>
    <row r="295" spans="1:1" x14ac:dyDescent="0.25">
      <c r="A295" s="299"/>
    </row>
    <row r="296" spans="1:1" x14ac:dyDescent="0.2">
      <c r="A296" s="296" t="s">
        <v>542</v>
      </c>
    </row>
    <row r="298" spans="1:1" ht="51" x14ac:dyDescent="0.2">
      <c r="A298" s="294" t="s">
        <v>621</v>
      </c>
    </row>
    <row r="300" spans="1:1" ht="38.25" x14ac:dyDescent="0.2">
      <c r="A300" s="294" t="s">
        <v>622</v>
      </c>
    </row>
    <row r="302" spans="1:1" ht="25.5" x14ac:dyDescent="0.2">
      <c r="A302" s="294" t="s">
        <v>543</v>
      </c>
    </row>
    <row r="304" spans="1:1" ht="38.25" x14ac:dyDescent="0.2">
      <c r="A304" s="294" t="s">
        <v>544</v>
      </c>
    </row>
    <row r="306" spans="1:1" ht="51" x14ac:dyDescent="0.2">
      <c r="A306" s="295" t="s">
        <v>554</v>
      </c>
    </row>
    <row r="308" spans="1:1" ht="51" x14ac:dyDescent="0.2">
      <c r="A308" s="295" t="s">
        <v>545</v>
      </c>
    </row>
    <row r="310" spans="1:1" ht="51" x14ac:dyDescent="0.2">
      <c r="A310" s="294" t="s">
        <v>623</v>
      </c>
    </row>
    <row r="312" spans="1:1" ht="51" x14ac:dyDescent="0.2">
      <c r="A312" s="294" t="s">
        <v>546</v>
      </c>
    </row>
    <row r="314" spans="1:1" ht="38.25" x14ac:dyDescent="0.2">
      <c r="A314" s="295" t="s">
        <v>555</v>
      </c>
    </row>
    <row r="315" spans="1:1" x14ac:dyDescent="0.2">
      <c r="A315" s="295"/>
    </row>
    <row r="316" spans="1:1" ht="25.5" x14ac:dyDescent="0.2">
      <c r="A316" s="295" t="s">
        <v>547</v>
      </c>
    </row>
    <row r="317" spans="1:1" x14ac:dyDescent="0.2">
      <c r="A317" s="295"/>
    </row>
    <row r="318" spans="1:1" ht="25.5" x14ac:dyDescent="0.2">
      <c r="A318" s="295" t="s">
        <v>548</v>
      </c>
    </row>
    <row r="320" spans="1:1" x14ac:dyDescent="0.2">
      <c r="A320" s="296" t="s">
        <v>9</v>
      </c>
    </row>
    <row r="322" spans="1:1" ht="38.25" x14ac:dyDescent="0.2">
      <c r="A322" s="294" t="s">
        <v>414</v>
      </c>
    </row>
    <row r="324" spans="1:1" ht="63.75" x14ac:dyDescent="0.2">
      <c r="A324" s="295" t="s">
        <v>483</v>
      </c>
    </row>
    <row r="326" spans="1:1" x14ac:dyDescent="0.2">
      <c r="A326" s="294" t="s">
        <v>413</v>
      </c>
    </row>
    <row r="327" spans="1:1" ht="25.5" x14ac:dyDescent="0.2">
      <c r="A327" s="296" t="s">
        <v>624</v>
      </c>
    </row>
    <row r="328" spans="1:1" ht="38.25" x14ac:dyDescent="0.2">
      <c r="A328" s="296" t="s">
        <v>579</v>
      </c>
    </row>
    <row r="329" spans="1:1" ht="25.5" x14ac:dyDescent="0.2">
      <c r="A329" s="296" t="s">
        <v>580</v>
      </c>
    </row>
    <row r="330" spans="1:1" x14ac:dyDescent="0.2">
      <c r="A330" s="296" t="s">
        <v>568</v>
      </c>
    </row>
    <row r="331" spans="1:1" ht="51" x14ac:dyDescent="0.2">
      <c r="A331" s="296" t="s">
        <v>581</v>
      </c>
    </row>
    <row r="332" spans="1:1" ht="63.75" x14ac:dyDescent="0.2">
      <c r="A332" s="294" t="s">
        <v>625</v>
      </c>
    </row>
    <row r="333" spans="1:1" ht="51" x14ac:dyDescent="0.2">
      <c r="A333" s="294" t="s">
        <v>626</v>
      </c>
    </row>
    <row r="334" spans="1:1" ht="38.25" x14ac:dyDescent="0.2">
      <c r="A334" s="294" t="s">
        <v>570</v>
      </c>
    </row>
    <row r="335" spans="1:1" ht="38.25" x14ac:dyDescent="0.2">
      <c r="A335" s="294" t="s">
        <v>571</v>
      </c>
    </row>
    <row r="336" spans="1:1" ht="51" x14ac:dyDescent="0.2">
      <c r="A336" s="296" t="s">
        <v>582</v>
      </c>
    </row>
    <row r="337" spans="1:1" x14ac:dyDescent="0.2">
      <c r="A337" s="296"/>
    </row>
    <row r="338" spans="1:1" x14ac:dyDescent="0.2">
      <c r="A338" s="294" t="s">
        <v>415</v>
      </c>
    </row>
    <row r="339" spans="1:1" ht="51" x14ac:dyDescent="0.2">
      <c r="A339" s="294" t="s">
        <v>627</v>
      </c>
    </row>
    <row r="340" spans="1:1" ht="51" x14ac:dyDescent="0.2">
      <c r="A340" s="296" t="s">
        <v>583</v>
      </c>
    </row>
    <row r="341" spans="1:1" ht="38.25" x14ac:dyDescent="0.2">
      <c r="A341" s="294" t="s">
        <v>628</v>
      </c>
    </row>
    <row r="342" spans="1:1" ht="38.25" x14ac:dyDescent="0.2">
      <c r="A342" s="294" t="s">
        <v>629</v>
      </c>
    </row>
    <row r="343" spans="1:1" x14ac:dyDescent="0.2">
      <c r="A343" s="296" t="s">
        <v>584</v>
      </c>
    </row>
    <row r="344" spans="1:1" ht="51" x14ac:dyDescent="0.2">
      <c r="A344" s="294" t="s">
        <v>578</v>
      </c>
    </row>
    <row r="346" spans="1:1" ht="89.25" x14ac:dyDescent="0.2">
      <c r="A346" s="295" t="s">
        <v>406</v>
      </c>
    </row>
    <row r="347" spans="1:1" x14ac:dyDescent="0.2">
      <c r="A347" s="295"/>
    </row>
    <row r="348" spans="1:1" ht="38.25" x14ac:dyDescent="0.2">
      <c r="A348" s="294" t="s">
        <v>630</v>
      </c>
    </row>
    <row r="350" spans="1:1" x14ac:dyDescent="0.2">
      <c r="A350" s="295" t="s">
        <v>403</v>
      </c>
    </row>
    <row r="352" spans="1:1" ht="38.25" x14ac:dyDescent="0.2">
      <c r="A352" s="294" t="s">
        <v>476</v>
      </c>
    </row>
    <row r="354" spans="1:1" ht="51" x14ac:dyDescent="0.2">
      <c r="A354" s="295" t="s">
        <v>416</v>
      </c>
    </row>
    <row r="355" spans="1:1" x14ac:dyDescent="0.2">
      <c r="A355" s="295"/>
    </row>
    <row r="356" spans="1:1" ht="38.25" x14ac:dyDescent="0.2">
      <c r="A356" s="295" t="s">
        <v>404</v>
      </c>
    </row>
    <row r="358" spans="1:1" ht="51" x14ac:dyDescent="0.2">
      <c r="A358" s="294" t="s">
        <v>405</v>
      </c>
    </row>
    <row r="360" spans="1:1" x14ac:dyDescent="0.2">
      <c r="A360" s="295" t="s">
        <v>417</v>
      </c>
    </row>
    <row r="362" spans="1:1" ht="51" x14ac:dyDescent="0.2">
      <c r="A362" s="294" t="s">
        <v>631</v>
      </c>
    </row>
    <row r="364" spans="1:1" x14ac:dyDescent="0.2">
      <c r="A364" s="295" t="s">
        <v>3</v>
      </c>
    </row>
    <row r="366" spans="1:1" ht="51" x14ac:dyDescent="0.2">
      <c r="A366" s="294" t="s">
        <v>632</v>
      </c>
    </row>
    <row r="368" spans="1:1" ht="25.5" x14ac:dyDescent="0.2">
      <c r="A368" s="295" t="s">
        <v>617</v>
      </c>
    </row>
    <row r="369" spans="1:1" x14ac:dyDescent="0.2">
      <c r="A369" s="295"/>
    </row>
    <row r="370" spans="1:1" ht="63.75" x14ac:dyDescent="0.2">
      <c r="A370" s="295" t="s">
        <v>643</v>
      </c>
    </row>
    <row r="372" spans="1:1" x14ac:dyDescent="0.2">
      <c r="A372" s="296" t="s">
        <v>412</v>
      </c>
    </row>
    <row r="374" spans="1:1" ht="51" x14ac:dyDescent="0.2">
      <c r="A374" s="294" t="s">
        <v>418</v>
      </c>
    </row>
    <row r="375" spans="1:1" x14ac:dyDescent="0.2">
      <c r="A375" s="295"/>
    </row>
    <row r="376" spans="1:1" ht="25.5" x14ac:dyDescent="0.2">
      <c r="A376" s="294" t="s">
        <v>479</v>
      </c>
    </row>
    <row r="378" spans="1:1" ht="51" x14ac:dyDescent="0.2">
      <c r="A378" s="295" t="s">
        <v>419</v>
      </c>
    </row>
    <row r="379" spans="1:1" x14ac:dyDescent="0.2">
      <c r="A379" s="295"/>
    </row>
    <row r="380" spans="1:1" ht="51" x14ac:dyDescent="0.2">
      <c r="A380" s="295" t="s">
        <v>73</v>
      </c>
    </row>
    <row r="381" spans="1:1" x14ac:dyDescent="0.2">
      <c r="A381" s="295"/>
    </row>
    <row r="382" spans="1:1" x14ac:dyDescent="0.2">
      <c r="A382" s="296" t="s">
        <v>420</v>
      </c>
    </row>
    <row r="384" spans="1:1" ht="38.25" x14ac:dyDescent="0.2">
      <c r="A384" s="294" t="s">
        <v>421</v>
      </c>
    </row>
    <row r="385" spans="1:1" x14ac:dyDescent="0.2">
      <c r="A385" s="295"/>
    </row>
    <row r="386" spans="1:1" ht="25.5" x14ac:dyDescent="0.2">
      <c r="A386" s="294" t="s">
        <v>480</v>
      </c>
    </row>
    <row r="388" spans="1:1" ht="51" x14ac:dyDescent="0.2">
      <c r="A388" s="295" t="s">
        <v>484</v>
      </c>
    </row>
    <row r="389" spans="1:1" x14ac:dyDescent="0.2">
      <c r="A389" s="295"/>
    </row>
    <row r="390" spans="1:1" x14ac:dyDescent="0.2">
      <c r="A390" s="296" t="s">
        <v>74</v>
      </c>
    </row>
    <row r="391" spans="1:1" x14ac:dyDescent="0.2">
      <c r="A391" s="295"/>
    </row>
    <row r="392" spans="1:1" ht="25.5" x14ac:dyDescent="0.2">
      <c r="A392" s="294" t="s">
        <v>75</v>
      </c>
    </row>
    <row r="393" spans="1:1" x14ac:dyDescent="0.2">
      <c r="A393" s="295"/>
    </row>
    <row r="394" spans="1:1" ht="38.25" x14ac:dyDescent="0.2">
      <c r="A394" s="295" t="s">
        <v>422</v>
      </c>
    </row>
    <row r="395" spans="1:1" ht="51" x14ac:dyDescent="0.2">
      <c r="A395" s="295" t="s">
        <v>423</v>
      </c>
    </row>
    <row r="396" spans="1:1" ht="51" x14ac:dyDescent="0.2">
      <c r="A396" s="295" t="s">
        <v>424</v>
      </c>
    </row>
    <row r="397" spans="1:1" ht="51" x14ac:dyDescent="0.2">
      <c r="A397" s="295" t="s">
        <v>550</v>
      </c>
    </row>
    <row r="398" spans="1:1" x14ac:dyDescent="0.2">
      <c r="A398" s="295"/>
    </row>
    <row r="399" spans="1:1" ht="38.25" x14ac:dyDescent="0.2">
      <c r="A399" s="295" t="s">
        <v>425</v>
      </c>
    </row>
    <row r="401" spans="1:1" x14ac:dyDescent="0.2">
      <c r="A401" s="296" t="s">
        <v>273</v>
      </c>
    </row>
    <row r="403" spans="1:1" ht="38.25" x14ac:dyDescent="0.2">
      <c r="A403" s="294" t="s">
        <v>633</v>
      </c>
    </row>
    <row r="405" spans="1:1" ht="38.25" x14ac:dyDescent="0.2">
      <c r="A405" s="294" t="s">
        <v>593</v>
      </c>
    </row>
    <row r="407" spans="1:1" ht="51" x14ac:dyDescent="0.2">
      <c r="A407" s="294" t="s">
        <v>426</v>
      </c>
    </row>
    <row r="409" spans="1:1" ht="38.25" x14ac:dyDescent="0.2">
      <c r="A409" s="295" t="s">
        <v>427</v>
      </c>
    </row>
    <row r="411" spans="1:1" ht="63.75" x14ac:dyDescent="0.2">
      <c r="A411" s="294" t="s">
        <v>428</v>
      </c>
    </row>
    <row r="413" spans="1:1" ht="63.75" x14ac:dyDescent="0.2">
      <c r="A413" s="294" t="s">
        <v>429</v>
      </c>
    </row>
    <row r="415" spans="1:1" ht="51" x14ac:dyDescent="0.2">
      <c r="A415" s="295" t="s">
        <v>455</v>
      </c>
    </row>
    <row r="416" spans="1:1" x14ac:dyDescent="0.2">
      <c r="A416" s="295"/>
    </row>
    <row r="417" spans="1:1" ht="51" x14ac:dyDescent="0.2">
      <c r="A417" s="295" t="s">
        <v>594</v>
      </c>
    </row>
    <row r="419" spans="1:1" x14ac:dyDescent="0.2">
      <c r="A419" s="296" t="s">
        <v>274</v>
      </c>
    </row>
    <row r="421" spans="1:1" ht="25.5" x14ac:dyDescent="0.2">
      <c r="A421" s="294" t="s">
        <v>634</v>
      </c>
    </row>
    <row r="423" spans="1:1" ht="51" x14ac:dyDescent="0.2">
      <c r="A423" s="295" t="s">
        <v>430</v>
      </c>
    </row>
    <row r="425" spans="1:1" ht="38.25" x14ac:dyDescent="0.2">
      <c r="A425" s="295" t="s">
        <v>431</v>
      </c>
    </row>
    <row r="426" spans="1:1" x14ac:dyDescent="0.2">
      <c r="A426" s="295"/>
    </row>
    <row r="427" spans="1:1" ht="25.5" x14ac:dyDescent="0.2">
      <c r="A427" s="295" t="s">
        <v>432</v>
      </c>
    </row>
    <row r="429" spans="1:1" x14ac:dyDescent="0.2">
      <c r="A429" s="296" t="s">
        <v>43</v>
      </c>
    </row>
    <row r="431" spans="1:1" ht="25.5" x14ac:dyDescent="0.2">
      <c r="A431" s="294" t="s">
        <v>635</v>
      </c>
    </row>
    <row r="433" spans="1:1" ht="63.75" x14ac:dyDescent="0.2">
      <c r="A433" s="294" t="s">
        <v>433</v>
      </c>
    </row>
    <row r="435" spans="1:1" ht="51" x14ac:dyDescent="0.2">
      <c r="A435" s="294" t="s">
        <v>481</v>
      </c>
    </row>
    <row r="437" spans="1:1" ht="25.5" x14ac:dyDescent="0.2">
      <c r="A437" s="295" t="s">
        <v>434</v>
      </c>
    </row>
    <row r="439" spans="1:1" ht="38.25" x14ac:dyDescent="0.2">
      <c r="A439" s="295" t="s">
        <v>595</v>
      </c>
    </row>
    <row r="441" spans="1:1" x14ac:dyDescent="0.2">
      <c r="A441" s="295" t="s">
        <v>435</v>
      </c>
    </row>
    <row r="443" spans="1:1" ht="51" x14ac:dyDescent="0.2">
      <c r="A443" s="294" t="s">
        <v>436</v>
      </c>
    </row>
    <row r="445" spans="1:1" ht="51" x14ac:dyDescent="0.2">
      <c r="A445" s="295" t="s">
        <v>437</v>
      </c>
    </row>
    <row r="446" spans="1:1" x14ac:dyDescent="0.2">
      <c r="A446" s="295"/>
    </row>
    <row r="447" spans="1:1" x14ac:dyDescent="0.2">
      <c r="A447" s="295" t="s">
        <v>438</v>
      </c>
    </row>
    <row r="448" spans="1:1" ht="51" x14ac:dyDescent="0.2">
      <c r="A448" s="295" t="s">
        <v>76</v>
      </c>
    </row>
    <row r="449" spans="1:1" ht="25.5" x14ac:dyDescent="0.2">
      <c r="A449" s="295" t="s">
        <v>77</v>
      </c>
    </row>
    <row r="450" spans="1:1" ht="25.5" x14ac:dyDescent="0.2">
      <c r="A450" s="295" t="s">
        <v>440</v>
      </c>
    </row>
    <row r="451" spans="1:1" ht="63.75" x14ac:dyDescent="0.2">
      <c r="A451" s="295" t="s">
        <v>439</v>
      </c>
    </row>
    <row r="452" spans="1:1" ht="51" x14ac:dyDescent="0.2">
      <c r="A452" s="295" t="s">
        <v>463</v>
      </c>
    </row>
    <row r="453" spans="1:1" ht="25.5" x14ac:dyDescent="0.2">
      <c r="A453" s="295" t="s">
        <v>341</v>
      </c>
    </row>
    <row r="454" spans="1:1" ht="76.5" x14ac:dyDescent="0.2">
      <c r="A454" s="295" t="s">
        <v>596</v>
      </c>
    </row>
    <row r="455" spans="1:1" ht="25.5" x14ac:dyDescent="0.2">
      <c r="A455" s="295" t="s">
        <v>441</v>
      </c>
    </row>
    <row r="456" spans="1:1" x14ac:dyDescent="0.2">
      <c r="A456" s="295"/>
    </row>
    <row r="457" spans="1:1" ht="38.85" customHeight="1" x14ac:dyDescent="0.2">
      <c r="A457" s="295" t="s">
        <v>442</v>
      </c>
    </row>
    <row r="459" spans="1:1" x14ac:dyDescent="0.2">
      <c r="A459" s="296" t="s">
        <v>445</v>
      </c>
    </row>
    <row r="461" spans="1:1" ht="38.25" x14ac:dyDescent="0.2">
      <c r="A461" s="294" t="s">
        <v>456</v>
      </c>
    </row>
    <row r="463" spans="1:1" ht="25.5" x14ac:dyDescent="0.2">
      <c r="A463" s="295" t="s">
        <v>446</v>
      </c>
    </row>
    <row r="465" spans="1:1" ht="38.25" x14ac:dyDescent="0.2">
      <c r="A465" s="295" t="s">
        <v>457</v>
      </c>
    </row>
    <row r="467" spans="1:1" x14ac:dyDescent="0.2">
      <c r="A467" s="296" t="s">
        <v>447</v>
      </c>
    </row>
    <row r="469" spans="1:1" ht="51" x14ac:dyDescent="0.2">
      <c r="A469" s="294" t="s">
        <v>636</v>
      </c>
    </row>
    <row r="471" spans="1:1" ht="51" x14ac:dyDescent="0.2">
      <c r="A471" s="294" t="s">
        <v>637</v>
      </c>
    </row>
    <row r="473" spans="1:1" ht="38.25" x14ac:dyDescent="0.2">
      <c r="A473" s="295" t="s">
        <v>638</v>
      </c>
    </row>
    <row r="475" spans="1:1" ht="25.5" x14ac:dyDescent="0.2">
      <c r="A475" s="294" t="s">
        <v>448</v>
      </c>
    </row>
    <row r="477" spans="1:1" ht="38.25" x14ac:dyDescent="0.2">
      <c r="A477" s="294" t="s">
        <v>449</v>
      </c>
    </row>
    <row r="479" spans="1:1" ht="38.25" x14ac:dyDescent="0.2">
      <c r="A479" s="295" t="s">
        <v>639</v>
      </c>
    </row>
    <row r="481" spans="1:2" ht="38.25" x14ac:dyDescent="0.2">
      <c r="A481" s="295" t="s">
        <v>640</v>
      </c>
    </row>
    <row r="482" spans="1:2" x14ac:dyDescent="0.2">
      <c r="A482" s="295"/>
    </row>
    <row r="483" spans="1:2" ht="51" x14ac:dyDescent="0.2">
      <c r="A483" s="295" t="s">
        <v>641</v>
      </c>
    </row>
    <row r="485" spans="1:2" ht="25.5" x14ac:dyDescent="0.2">
      <c r="A485" s="295" t="s">
        <v>642</v>
      </c>
    </row>
    <row r="487" spans="1:2" x14ac:dyDescent="0.2">
      <c r="A487" s="296" t="s">
        <v>52</v>
      </c>
    </row>
    <row r="489" spans="1:2" ht="51" x14ac:dyDescent="0.2">
      <c r="A489" s="294" t="s">
        <v>443</v>
      </c>
    </row>
    <row r="491" spans="1:2" ht="51" x14ac:dyDescent="0.2">
      <c r="A491" s="294" t="s">
        <v>444</v>
      </c>
    </row>
    <row r="493" spans="1:2" x14ac:dyDescent="0.2">
      <c r="A493" s="302" t="s">
        <v>4</v>
      </c>
    </row>
    <row r="495" spans="1:2" ht="63.75" x14ac:dyDescent="0.2">
      <c r="A495" s="294" t="s">
        <v>0</v>
      </c>
      <c r="B495" s="303"/>
    </row>
    <row r="496" spans="1:2" x14ac:dyDescent="0.2">
      <c r="B496" s="303"/>
    </row>
    <row r="497" spans="1:2" s="303" customFormat="1" x14ac:dyDescent="0.2">
      <c r="A497" s="296" t="s">
        <v>78</v>
      </c>
    </row>
    <row r="498" spans="1:2" s="303" customFormat="1" x14ac:dyDescent="0.2">
      <c r="A498" s="296"/>
      <c r="B498" s="290"/>
    </row>
    <row r="499" spans="1:2" s="303" customFormat="1" ht="76.5" x14ac:dyDescent="0.2">
      <c r="A499" s="294" t="s">
        <v>79</v>
      </c>
      <c r="B499" s="290"/>
    </row>
  </sheetData>
  <sheetProtection selectLockedCells="1"/>
  <phoneticPr fontId="2" type="noConversion"/>
  <hyperlinks>
    <hyperlink ref="A3" r:id="rId1" xr:uid="{00000000-0004-0000-0200-000000000000}"/>
  </hyperlinks>
  <pageMargins left="0.59055118110236227" right="0.59055118110236227" top="0.59055118110236227" bottom="0.59055118110236227" header="0.39370078740157483" footer="0.39370078740157483"/>
  <pageSetup paperSize="9" scale="98" fitToHeight="0" orientation="portrait"/>
  <headerFooter alignWithMargins="0">
    <oddFooter>&amp;C&amp;9Page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F78"/>
  <sheetViews>
    <sheetView topLeftCell="A42" zoomScale="130" zoomScaleNormal="130" workbookViewId="0">
      <selection activeCell="B56" sqref="B56"/>
    </sheetView>
  </sheetViews>
  <sheetFormatPr defaultColWidth="9.140625" defaultRowHeight="15.95" customHeight="1" x14ac:dyDescent="0.25"/>
  <cols>
    <col min="1" max="1" width="8.5703125" style="4" customWidth="1"/>
    <col min="2" max="2" width="15.5703125" style="4" customWidth="1"/>
    <col min="3" max="6" width="20.5703125" style="4" customWidth="1"/>
    <col min="7" max="13" width="15.5703125" style="4" customWidth="1"/>
    <col min="14" max="16384" width="9.140625" style="4"/>
  </cols>
  <sheetData>
    <row r="1" spans="1:6" ht="15.95" customHeight="1" x14ac:dyDescent="0.25">
      <c r="A1" s="274" t="str">
        <f>IF(ISBLANK($C$5),"Example Limited",$C$5)</f>
        <v>Nasia Consult Co. Limited</v>
      </c>
      <c r="B1" s="3"/>
      <c r="D1" s="5"/>
    </row>
    <row r="2" spans="1:6" ht="15.95" customHeight="1" x14ac:dyDescent="0.25">
      <c r="A2" s="6" t="s">
        <v>80</v>
      </c>
      <c r="B2" s="6"/>
    </row>
    <row r="3" spans="1:6" ht="15.95" customHeight="1" x14ac:dyDescent="0.25">
      <c r="A3" s="7" t="s">
        <v>244</v>
      </c>
      <c r="F3" s="5"/>
    </row>
    <row r="4" spans="1:6" s="3" customFormat="1" ht="15.95" customHeight="1" x14ac:dyDescent="0.2">
      <c r="A4" s="3" t="s">
        <v>487</v>
      </c>
      <c r="F4" s="5"/>
    </row>
    <row r="5" spans="1:6" ht="15.95" customHeight="1" x14ac:dyDescent="0.25">
      <c r="A5" s="4" t="s">
        <v>11</v>
      </c>
      <c r="C5" s="357" t="s">
        <v>657</v>
      </c>
      <c r="D5" s="358"/>
    </row>
    <row r="6" spans="1:6" ht="15.95" customHeight="1" x14ac:dyDescent="0.25">
      <c r="A6" s="4" t="s">
        <v>488</v>
      </c>
      <c r="C6" s="312" t="s">
        <v>652</v>
      </c>
      <c r="D6" s="9"/>
      <c r="E6" s="10"/>
      <c r="F6" s="11"/>
    </row>
    <row r="7" spans="1:6" ht="15.95" customHeight="1" x14ac:dyDescent="0.25">
      <c r="A7" s="4" t="s">
        <v>489</v>
      </c>
      <c r="C7" s="313" t="s">
        <v>650</v>
      </c>
      <c r="D7" s="12"/>
    </row>
    <row r="8" spans="1:6" ht="15.95" customHeight="1" x14ac:dyDescent="0.25">
      <c r="A8" s="4" t="s">
        <v>490</v>
      </c>
      <c r="C8" s="314" t="s">
        <v>651</v>
      </c>
      <c r="D8" s="12"/>
    </row>
    <row r="9" spans="1:6" ht="15.95" customHeight="1" x14ac:dyDescent="0.25">
      <c r="A9" s="4" t="s">
        <v>491</v>
      </c>
      <c r="C9" s="311" t="s">
        <v>648</v>
      </c>
      <c r="D9" s="14"/>
    </row>
    <row r="10" spans="1:6" ht="15.95" customHeight="1" x14ac:dyDescent="0.25">
      <c r="A10" s="4" t="s">
        <v>514</v>
      </c>
      <c r="C10" s="311" t="s">
        <v>649</v>
      </c>
      <c r="D10" s="14"/>
    </row>
    <row r="11" spans="1:6" ht="15.95" customHeight="1" x14ac:dyDescent="0.25">
      <c r="A11" s="4" t="s">
        <v>493</v>
      </c>
      <c r="C11" s="15" t="s">
        <v>494</v>
      </c>
      <c r="D11" s="12"/>
    </row>
    <row r="12" spans="1:6" ht="15.95" customHeight="1" x14ac:dyDescent="0.25">
      <c r="A12" s="4" t="s">
        <v>492</v>
      </c>
      <c r="C12" s="15" t="s">
        <v>495</v>
      </c>
      <c r="D12" s="12"/>
    </row>
    <row r="14" spans="1:6" ht="15.95" customHeight="1" x14ac:dyDescent="0.25">
      <c r="A14" s="3" t="s">
        <v>81</v>
      </c>
      <c r="B14" s="3"/>
    </row>
    <row r="15" spans="1:6" ht="15.95" customHeight="1" x14ac:dyDescent="0.25">
      <c r="D15" s="16" t="s">
        <v>342</v>
      </c>
    </row>
    <row r="16" spans="1:6" ht="15.95" customHeight="1" x14ac:dyDescent="0.25">
      <c r="A16" s="4" t="s">
        <v>343</v>
      </c>
      <c r="C16" s="17">
        <v>2024</v>
      </c>
      <c r="D16" s="18">
        <f ca="1">IF(ISBLANK(C16),IF(MONTH(TODAY())&gt;MONTH($C$20),DATE(YEAR(TODAY()),MONTH($C$20)+1,1),DATE(YEAR(TODAY())-1,MONTH($C$20)+1,1)),DATE(C16-1,MONTH($C$20)+1,1))</f>
        <v>45292</v>
      </c>
      <c r="E16" s="6" t="s">
        <v>302</v>
      </c>
    </row>
    <row r="17" spans="1:5" ht="15.95" customHeight="1" x14ac:dyDescent="0.25">
      <c r="D17" s="16" t="s">
        <v>342</v>
      </c>
    </row>
    <row r="18" spans="1:5" ht="15.95" customHeight="1" x14ac:dyDescent="0.25">
      <c r="A18" s="4" t="s">
        <v>344</v>
      </c>
      <c r="C18" s="17">
        <v>2024</v>
      </c>
      <c r="D18" s="18">
        <f ca="1">IF(ISBLANK(C18),IF(MONTH(TODAY())&gt;MONTH($C$20),DATE(YEAR(TODAY()),MONTH($C$20)+1,1),DATE(YEAR(TODAY())-1,MONTH($C$20)+1,1)),DATE(C18-1,MONTH($C$20)+1,1))</f>
        <v>45292</v>
      </c>
      <c r="E18" s="6" t="s">
        <v>303</v>
      </c>
    </row>
    <row r="20" spans="1:5" ht="15.95" customHeight="1" x14ac:dyDescent="0.25">
      <c r="A20" s="4" t="s">
        <v>347</v>
      </c>
      <c r="C20" s="19">
        <v>45627</v>
      </c>
      <c r="E20" s="18"/>
    </row>
    <row r="22" spans="1:5" ht="15.95" customHeight="1" x14ac:dyDescent="0.25">
      <c r="A22" s="3" t="s">
        <v>3</v>
      </c>
    </row>
    <row r="23" spans="1:5" s="20" customFormat="1" ht="15.95" customHeight="1" x14ac:dyDescent="0.25">
      <c r="A23" s="6" t="s">
        <v>56</v>
      </c>
      <c r="B23" s="6" t="s">
        <v>7</v>
      </c>
      <c r="D23" s="16" t="s">
        <v>304</v>
      </c>
      <c r="E23" s="4"/>
    </row>
    <row r="24" spans="1:5" ht="15.95" customHeight="1" x14ac:dyDescent="0.25">
      <c r="A24" s="315" t="s">
        <v>654</v>
      </c>
      <c r="B24" s="312" t="s">
        <v>653</v>
      </c>
      <c r="C24" s="14"/>
      <c r="D24" s="22">
        <v>0.18</v>
      </c>
    </row>
    <row r="25" spans="1:5" ht="15.95" customHeight="1" x14ac:dyDescent="0.25">
      <c r="A25" s="315" t="s">
        <v>655</v>
      </c>
      <c r="B25" s="312" t="s">
        <v>656</v>
      </c>
      <c r="C25" s="14"/>
      <c r="D25" s="22">
        <v>0.05</v>
      </c>
    </row>
    <row r="26" spans="1:5" ht="15.95" customHeight="1" x14ac:dyDescent="0.25">
      <c r="A26" s="21" t="s">
        <v>305</v>
      </c>
      <c r="B26" s="8" t="s">
        <v>309</v>
      </c>
      <c r="C26" s="14"/>
      <c r="D26" s="22">
        <v>0</v>
      </c>
    </row>
    <row r="27" spans="1:5" ht="15.95" customHeight="1" x14ac:dyDescent="0.25">
      <c r="A27" s="21" t="s">
        <v>51</v>
      </c>
      <c r="B27" s="8" t="s">
        <v>306</v>
      </c>
      <c r="C27" s="14"/>
      <c r="D27" s="22">
        <v>0</v>
      </c>
    </row>
    <row r="28" spans="1:5" ht="15.95" customHeight="1" x14ac:dyDescent="0.25">
      <c r="A28" s="21" t="s">
        <v>307</v>
      </c>
      <c r="B28" s="8" t="s">
        <v>308</v>
      </c>
      <c r="C28" s="14"/>
      <c r="D28" s="22">
        <v>0</v>
      </c>
    </row>
    <row r="29" spans="1:5" ht="15.95" customHeight="1" x14ac:dyDescent="0.25">
      <c r="A29" s="6" t="s">
        <v>110</v>
      </c>
      <c r="B29" s="12"/>
      <c r="C29" s="12"/>
      <c r="D29" s="23"/>
    </row>
    <row r="31" spans="1:5" ht="15.95" customHeight="1" x14ac:dyDescent="0.25">
      <c r="A31" s="3" t="s">
        <v>55</v>
      </c>
    </row>
    <row r="32" spans="1:5" s="6" customFormat="1" ht="15.95" customHeight="1" x14ac:dyDescent="0.2">
      <c r="A32" s="6" t="s">
        <v>56</v>
      </c>
      <c r="B32" s="6" t="s">
        <v>7</v>
      </c>
      <c r="D32" s="16" t="s">
        <v>299</v>
      </c>
      <c r="E32" s="16" t="s">
        <v>300</v>
      </c>
    </row>
    <row r="33" spans="1:5" ht="15.95" customHeight="1" x14ac:dyDescent="0.25">
      <c r="A33" s="21" t="s">
        <v>57</v>
      </c>
      <c r="B33" s="8" t="s">
        <v>658</v>
      </c>
      <c r="C33" s="14"/>
      <c r="D33" s="24" t="str">
        <f ca="1">IF(ISNA(MATCH($A33,TB!$H$76:$H$99,0)),"add!","ok")</f>
        <v>ok</v>
      </c>
      <c r="E33" s="24" t="str">
        <f ca="1">IF(ISNA(MATCH("BS-B"&amp;$A33,BS!$A$4:$A$37,0)),"add!","ok")</f>
        <v>ok</v>
      </c>
    </row>
    <row r="34" spans="1:5" ht="15.95" customHeight="1" x14ac:dyDescent="0.25">
      <c r="A34" s="21" t="s">
        <v>58</v>
      </c>
      <c r="B34" s="8" t="s">
        <v>659</v>
      </c>
      <c r="C34" s="14"/>
      <c r="D34" s="24" t="str">
        <f ca="1">IF(ISNA(MATCH($A34,TB!$H$76:$H$99,0)),"add!","ok")</f>
        <v>ok</v>
      </c>
      <c r="E34" s="24" t="str">
        <f ca="1">IF(ISNA(MATCH("BS-B"&amp;$A34,BS!$A$4:$A$37,0)),"add!","ok")</f>
        <v>ok</v>
      </c>
    </row>
    <row r="35" spans="1:5" ht="15.95" customHeight="1" x14ac:dyDescent="0.25">
      <c r="A35" s="21" t="s">
        <v>59</v>
      </c>
      <c r="B35" s="8" t="s">
        <v>660</v>
      </c>
      <c r="C35" s="14"/>
      <c r="D35" s="24" t="str">
        <f ca="1">IF(ISNA(MATCH($A35,TB!$H$76:$H$99,0)),"add!","ok")</f>
        <v>ok</v>
      </c>
      <c r="E35" s="24" t="str">
        <f ca="1">IF(ISNA(MATCH("BS-B"&amp;$A35,BS!$A$4:$A$37,0)),"add!","ok")</f>
        <v>ok</v>
      </c>
    </row>
    <row r="36" spans="1:5" ht="15.95" customHeight="1" x14ac:dyDescent="0.25">
      <c r="A36" s="21" t="s">
        <v>673</v>
      </c>
      <c r="B36" s="8" t="s">
        <v>661</v>
      </c>
      <c r="C36" s="14"/>
      <c r="D36" s="24" t="str">
        <f ca="1">IF(ISNA(MATCH($A36,TB!$H$76:$H$99,0)),"add!","ok")</f>
        <v>ok</v>
      </c>
      <c r="E36" s="24" t="str">
        <f ca="1">IF(ISNA(MATCH("BS-B"&amp;$A36,BS!$A$4:$A$37,0)),"add!","ok")</f>
        <v>ok</v>
      </c>
    </row>
    <row r="37" spans="1:5" ht="15.95" customHeight="1" x14ac:dyDescent="0.25">
      <c r="A37" s="21" t="s">
        <v>674</v>
      </c>
      <c r="B37" s="8" t="s">
        <v>662</v>
      </c>
      <c r="C37" s="14"/>
      <c r="D37" s="24" t="str">
        <f ca="1">IF(ISNA(MATCH($A37,TB!$H$76:$H$99,0)),"add!","ok")</f>
        <v>ok</v>
      </c>
      <c r="E37" s="24" t="str">
        <f ca="1">IF(ISNA(MATCH("BS-B"&amp;$A37,BS!$A$4:$A$37,0)),"add!","ok")</f>
        <v>ok</v>
      </c>
    </row>
    <row r="38" spans="1:5" ht="15.95" customHeight="1" x14ac:dyDescent="0.25">
      <c r="A38" s="21" t="s">
        <v>675</v>
      </c>
      <c r="B38" s="8" t="s">
        <v>663</v>
      </c>
      <c r="C38" s="14"/>
      <c r="D38" s="24" t="str">
        <f ca="1">IF(ISNA(MATCH($A38,TB!$H$76:$H$99,0)),"add!","ok")</f>
        <v>ok</v>
      </c>
      <c r="E38" s="24" t="str">
        <f ca="1">IF(ISNA(MATCH("BS-B"&amp;$A38,BS!$A$4:$A$37,0)),"add!","ok")</f>
        <v>ok</v>
      </c>
    </row>
    <row r="39" spans="1:5" ht="15.95" customHeight="1" x14ac:dyDescent="0.25">
      <c r="A39" s="21" t="s">
        <v>676</v>
      </c>
      <c r="B39" s="8" t="s">
        <v>664</v>
      </c>
      <c r="C39" s="14"/>
      <c r="D39" s="24" t="str">
        <f ca="1">IF(ISNA(MATCH($A39,TB!$H$76:$H$99,0)),"add!","ok")</f>
        <v>ok</v>
      </c>
      <c r="E39" s="24" t="str">
        <f ca="1">IF(ISNA(MATCH("BS-B"&amp;$A39,BS!$A$4:$A$37,0)),"add!","ok")</f>
        <v>ok</v>
      </c>
    </row>
    <row r="40" spans="1:5" ht="15.95" customHeight="1" x14ac:dyDescent="0.25">
      <c r="A40" s="21" t="s">
        <v>677</v>
      </c>
      <c r="B40" s="8" t="s">
        <v>665</v>
      </c>
      <c r="C40" s="14"/>
      <c r="D40" s="24" t="str">
        <f ca="1">IF(ISNA(MATCH($A40,TB!$H$76:$H$99,0)),"add!","ok")</f>
        <v>ok</v>
      </c>
      <c r="E40" s="24" t="str">
        <f ca="1">IF(ISNA(MATCH("BS-B"&amp;$A40,BS!$A$4:$A$37,0)),"add!","ok")</f>
        <v>ok</v>
      </c>
    </row>
    <row r="41" spans="1:5" ht="15.95" customHeight="1" x14ac:dyDescent="0.25">
      <c r="A41" s="21" t="s">
        <v>678</v>
      </c>
      <c r="B41" s="8" t="s">
        <v>666</v>
      </c>
      <c r="C41" s="14"/>
      <c r="D41" s="24" t="str">
        <f ca="1">IF(ISNA(MATCH($A41,TB!$H$76:$H$99,0)),"add!","ok")</f>
        <v>ok</v>
      </c>
      <c r="E41" s="24" t="str">
        <f ca="1">IF(ISNA(MATCH("BS-B"&amp;$A41,BS!$A$4:$A$37,0)),"add!","ok")</f>
        <v>ok</v>
      </c>
    </row>
    <row r="42" spans="1:5" ht="15.95" customHeight="1" x14ac:dyDescent="0.25">
      <c r="A42" s="21" t="s">
        <v>679</v>
      </c>
      <c r="B42" s="8" t="s">
        <v>667</v>
      </c>
      <c r="C42" s="14"/>
      <c r="D42" s="24" t="str">
        <f ca="1">IF(ISNA(MATCH($A42,TB!$H$76:$H$99,0)),"add!","ok")</f>
        <v>ok</v>
      </c>
      <c r="E42" s="24" t="str">
        <f ca="1">IF(ISNA(MATCH("BS-B"&amp;$A42,BS!$A$4:$A$37,0)),"add!","ok")</f>
        <v>ok</v>
      </c>
    </row>
    <row r="43" spans="1:5" ht="15.95" customHeight="1" x14ac:dyDescent="0.25">
      <c r="A43" s="21" t="s">
        <v>680</v>
      </c>
      <c r="B43" s="8" t="s">
        <v>668</v>
      </c>
      <c r="C43" s="14"/>
      <c r="D43" s="24" t="str">
        <f ca="1">IF(ISNA(MATCH($A43,TB!$H$76:$H$99,0)),"add!","ok")</f>
        <v>ok</v>
      </c>
      <c r="E43" s="24" t="str">
        <f ca="1">IF(ISNA(MATCH("BS-B"&amp;$A43,BS!$A$4:$A$37,0)),"add!","ok")</f>
        <v>ok</v>
      </c>
    </row>
    <row r="44" spans="1:5" ht="15.95" customHeight="1" x14ac:dyDescent="0.25">
      <c r="A44" s="21" t="s">
        <v>681</v>
      </c>
      <c r="B44" s="8" t="s">
        <v>669</v>
      </c>
      <c r="C44" s="14"/>
      <c r="D44" s="24" t="str">
        <f ca="1">IF(ISNA(MATCH($A44,TB!$H$76:$H$99,0)),"add!","ok")</f>
        <v>ok</v>
      </c>
      <c r="E44" s="24" t="str">
        <f ca="1">IF(ISNA(MATCH("BS-B"&amp;$A44,BS!$A$4:$A$37,0)),"add!","ok")</f>
        <v>ok</v>
      </c>
    </row>
    <row r="45" spans="1:5" ht="15.95" customHeight="1" x14ac:dyDescent="0.25">
      <c r="A45" s="21" t="s">
        <v>682</v>
      </c>
      <c r="B45" s="8" t="s">
        <v>670</v>
      </c>
      <c r="C45" s="14"/>
      <c r="D45" s="24" t="str">
        <f ca="1">IF(ISNA(MATCH($A45,TB!$H$76:$H$99,0)),"add!","ok")</f>
        <v>ok</v>
      </c>
      <c r="E45" s="24" t="str">
        <f ca="1">IF(ISNA(MATCH("BS-B"&amp;$A45,BS!$A$4:$A$37,0)),"add!","ok")</f>
        <v>ok</v>
      </c>
    </row>
    <row r="46" spans="1:5" ht="15.95" customHeight="1" x14ac:dyDescent="0.25">
      <c r="A46" s="21" t="s">
        <v>683</v>
      </c>
      <c r="B46" s="8" t="s">
        <v>671</v>
      </c>
      <c r="C46" s="14"/>
      <c r="D46" s="24" t="str">
        <f ca="1">IF(ISNA(MATCH($A46,TB!$H$76:$H$99,0)),"add!","ok")</f>
        <v>ok</v>
      </c>
      <c r="E46" s="24" t="str">
        <f ca="1">IF(ISNA(MATCH("BS-B"&amp;$A46,BS!$A$4:$A$37,0)),"add!","ok")</f>
        <v>ok</v>
      </c>
    </row>
    <row r="47" spans="1:5" ht="15.95" customHeight="1" x14ac:dyDescent="0.25">
      <c r="A47" s="21" t="s">
        <v>684</v>
      </c>
      <c r="B47" s="8" t="s">
        <v>672</v>
      </c>
      <c r="C47" s="14"/>
      <c r="D47" s="24" t="str">
        <f ca="1">IF(ISNA(MATCH($A47,TB!$H$76:$H$99,0)),"add!","ok")</f>
        <v>ok</v>
      </c>
      <c r="E47" s="24" t="str">
        <f ca="1">IF(ISNA(MATCH("BS-B"&amp;$A47,BS!$A$4:$A$37,0)),"add!","ok")</f>
        <v>ok</v>
      </c>
    </row>
    <row r="48" spans="1:5" ht="15.95" customHeight="1" x14ac:dyDescent="0.25">
      <c r="A48" s="21" t="s">
        <v>743</v>
      </c>
      <c r="B48" s="312" t="s">
        <v>749</v>
      </c>
      <c r="C48" s="14"/>
      <c r="D48" s="24" t="str">
        <f ca="1">IF(ISNA(MATCH($A48,TB!$H$76:$H$99,0)),"add!","ok")</f>
        <v>ok</v>
      </c>
      <c r="E48" s="24" t="str">
        <f ca="1">IF(ISNA(MATCH("BS-B"&amp;$A48,BS!$A$4:$A$37,0)),"add!","ok")</f>
        <v>ok</v>
      </c>
    </row>
    <row r="49" spans="1:6" ht="15.95" customHeight="1" x14ac:dyDescent="0.25">
      <c r="A49" s="21" t="s">
        <v>60</v>
      </c>
      <c r="B49" s="8" t="s">
        <v>109</v>
      </c>
      <c r="C49" s="14"/>
      <c r="D49" s="24" t="str">
        <f ca="1">IF(ISNA(MATCH($A49,TB!$H$76:$H$99,0)),"add!","ok")</f>
        <v>ok</v>
      </c>
      <c r="E49" s="24" t="str">
        <f ca="1">IF(ISNA(MATCH("BS-B"&amp;$A49,BS!$A$4:$A$37,0)),"add!","ok")</f>
        <v>ok</v>
      </c>
    </row>
    <row r="50" spans="1:6" ht="15.95" customHeight="1" x14ac:dyDescent="0.25">
      <c r="A50" s="25" t="s">
        <v>111</v>
      </c>
      <c r="B50" s="26" t="s">
        <v>112</v>
      </c>
      <c r="C50" s="27"/>
      <c r="D50" s="24" t="str">
        <f ca="1">IF(ISNA(MATCH($A50,TB!$H$76:$H$99,0)),"add!","ok")</f>
        <v>ok</v>
      </c>
      <c r="E50" s="24" t="str">
        <f ca="1">IF(ISNA(MATCH("BS-B"&amp;$A50,BS!$A$4:$A$37,0)),"add!","ok")</f>
        <v>ok</v>
      </c>
    </row>
    <row r="51" spans="1:6" s="6" customFormat="1" ht="15.95" customHeight="1" x14ac:dyDescent="0.2">
      <c r="A51" s="6" t="s">
        <v>110</v>
      </c>
      <c r="B51" s="28"/>
      <c r="C51" s="28"/>
    </row>
    <row r="53" spans="1:6" s="3" customFormat="1" ht="15.95" customHeight="1" x14ac:dyDescent="0.2">
      <c r="A53" s="3" t="s">
        <v>510</v>
      </c>
    </row>
    <row r="54" spans="1:6" ht="15.95" customHeight="1" x14ac:dyDescent="0.25">
      <c r="A54" s="4" t="s">
        <v>511</v>
      </c>
      <c r="C54" s="13" t="s">
        <v>507</v>
      </c>
      <c r="D54" s="11"/>
    </row>
    <row r="55" spans="1:6" ht="15.95" customHeight="1" x14ac:dyDescent="0.25">
      <c r="A55" s="4" t="s">
        <v>505</v>
      </c>
      <c r="C55" s="13" t="s">
        <v>506</v>
      </c>
      <c r="D55" s="11"/>
    </row>
    <row r="56" spans="1:6" ht="15.95" customHeight="1" x14ac:dyDescent="0.25">
      <c r="A56" s="4" t="s">
        <v>70</v>
      </c>
      <c r="C56" s="21" t="s">
        <v>508</v>
      </c>
    </row>
    <row r="57" spans="1:6" ht="15.95" customHeight="1" x14ac:dyDescent="0.25">
      <c r="A57" s="4" t="s">
        <v>332</v>
      </c>
      <c r="C57" s="29" t="s">
        <v>509</v>
      </c>
    </row>
    <row r="58" spans="1:6" ht="15.95" customHeight="1" x14ac:dyDescent="0.25">
      <c r="A58" s="4" t="s">
        <v>512</v>
      </c>
      <c r="C58" s="13" t="s">
        <v>513</v>
      </c>
      <c r="D58" s="10"/>
      <c r="E58" s="10"/>
      <c r="F58" s="11"/>
    </row>
    <row r="60" spans="1:6" s="3" customFormat="1" ht="15.95" customHeight="1" x14ac:dyDescent="0.2">
      <c r="A60" s="3" t="s">
        <v>61</v>
      </c>
    </row>
    <row r="61" spans="1:6" s="6" customFormat="1" ht="15.95" customHeight="1" x14ac:dyDescent="0.2">
      <c r="A61" s="6" t="s">
        <v>56</v>
      </c>
      <c r="B61" s="6" t="s">
        <v>62</v>
      </c>
    </row>
    <row r="62" spans="1:6" ht="15.95" customHeight="1" x14ac:dyDescent="0.25">
      <c r="A62" s="4" t="s">
        <v>63</v>
      </c>
      <c r="B62" s="4" t="s">
        <v>64</v>
      </c>
    </row>
    <row r="63" spans="1:6" ht="15.95" customHeight="1" x14ac:dyDescent="0.25">
      <c r="A63" s="4" t="s">
        <v>65</v>
      </c>
      <c r="B63" s="4" t="s">
        <v>66</v>
      </c>
    </row>
    <row r="64" spans="1:6" ht="15.95" customHeight="1" x14ac:dyDescent="0.25">
      <c r="A64" s="4" t="s">
        <v>67</v>
      </c>
      <c r="B64" s="4" t="s">
        <v>68</v>
      </c>
    </row>
    <row r="65" spans="1:2" ht="15.95" customHeight="1" x14ac:dyDescent="0.25">
      <c r="A65" s="4" t="s">
        <v>496</v>
      </c>
      <c r="B65" s="4" t="s">
        <v>497</v>
      </c>
    </row>
    <row r="67" spans="1:2" ht="15.95" customHeight="1" x14ac:dyDescent="0.25">
      <c r="B67" s="30">
        <f ca="1">DATE(YEAR(TODAY()),1,1)</f>
        <v>45292</v>
      </c>
    </row>
    <row r="68" spans="1:2" ht="15.95" customHeight="1" x14ac:dyDescent="0.25">
      <c r="B68" s="30">
        <f ca="1">DATE(YEAR(TODAY()),2,1)</f>
        <v>45323</v>
      </c>
    </row>
    <row r="69" spans="1:2" ht="15.95" customHeight="1" x14ac:dyDescent="0.25">
      <c r="B69" s="30">
        <f ca="1">DATE(YEAR(TODAY()),3,1)</f>
        <v>45352</v>
      </c>
    </row>
    <row r="70" spans="1:2" ht="15.95" customHeight="1" x14ac:dyDescent="0.25">
      <c r="B70" s="30">
        <f ca="1">DATE(YEAR(TODAY()),4,1)</f>
        <v>45383</v>
      </c>
    </row>
    <row r="71" spans="1:2" ht="15.95" customHeight="1" x14ac:dyDescent="0.25">
      <c r="B71" s="30">
        <f ca="1">DATE(YEAR(TODAY()),5,1)</f>
        <v>45413</v>
      </c>
    </row>
    <row r="72" spans="1:2" ht="15.95" customHeight="1" x14ac:dyDescent="0.25">
      <c r="B72" s="30">
        <f ca="1">DATE(YEAR(TODAY()),6,1)</f>
        <v>45444</v>
      </c>
    </row>
    <row r="73" spans="1:2" ht="15.95" customHeight="1" x14ac:dyDescent="0.25">
      <c r="B73" s="30">
        <f ca="1">DATE(YEAR(TODAY()),7,1)</f>
        <v>45474</v>
      </c>
    </row>
    <row r="74" spans="1:2" ht="15.95" customHeight="1" x14ac:dyDescent="0.25">
      <c r="B74" s="30">
        <f ca="1">DATE(YEAR(TODAY()),8,1)</f>
        <v>45505</v>
      </c>
    </row>
    <row r="75" spans="1:2" ht="15.95" customHeight="1" x14ac:dyDescent="0.25">
      <c r="B75" s="30">
        <f ca="1">DATE(YEAR(TODAY()),9,1)</f>
        <v>45536</v>
      </c>
    </row>
    <row r="76" spans="1:2" ht="15.95" customHeight="1" x14ac:dyDescent="0.25">
      <c r="B76" s="30">
        <f ca="1">DATE(YEAR(TODAY()),10,1)</f>
        <v>45566</v>
      </c>
    </row>
    <row r="77" spans="1:2" ht="15.95" customHeight="1" x14ac:dyDescent="0.25">
      <c r="B77" s="30">
        <f ca="1">DATE(YEAR(TODAY()),11,1)</f>
        <v>45597</v>
      </c>
    </row>
    <row r="78" spans="1:2" ht="15.95" customHeight="1" x14ac:dyDescent="0.25">
      <c r="B78" s="30">
        <f ca="1">DATE(YEAR(TODAY()),12,1)</f>
        <v>45627</v>
      </c>
    </row>
  </sheetData>
  <mergeCells count="1">
    <mergeCell ref="C5:D5"/>
  </mergeCells>
  <phoneticPr fontId="2" type="noConversion"/>
  <dataValidations count="2">
    <dataValidation type="list" allowBlank="1" showInputMessage="1" showErrorMessage="1" sqref="C20" xr:uid="{00000000-0002-0000-0300-000000000000}">
      <formula1>MonthNames</formula1>
    </dataValidation>
    <dataValidation type="decimal" allowBlank="1" showInputMessage="1" showErrorMessage="1" errorTitle="Invalid Tax %" error="The applicable tax percentage needs to be entered as a percentage value - only values between 0 and 1 are therefore accepted." sqref="D24:D25 C26:D29" xr:uid="{00000000-0002-0000-0300-000001000000}">
      <formula1>0</formula1>
      <formula2>1</formula2>
    </dataValidation>
  </dataValidations>
  <hyperlinks>
    <hyperlink ref="C9" r:id="rId1" xr:uid="{00000000-0004-0000-0300-000000000000}"/>
    <hyperlink ref="C10" r:id="rId2" xr:uid="{00000000-0004-0000-0300-000001000000}"/>
  </hyperlinks>
  <pageMargins left="0.59055118110236227" right="0.59055118110236227" top="0.59055118110236227" bottom="0.59055118110236227" header="0.39370078740157483" footer="0.39370078740157483"/>
  <pageSetup paperSize="9" scale="78" orientation="portrait" r:id="rId3"/>
  <headerFooter alignWithMargins="0">
    <oddFooter>Page &amp;P of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36"/>
  <sheetViews>
    <sheetView zoomScale="95" zoomScaleNormal="95" workbookViewId="0">
      <pane ySplit="4" topLeftCell="A57" activePane="bottomLeft" state="frozen"/>
      <selection pane="bottomLeft" activeCell="B59" sqref="B59"/>
    </sheetView>
  </sheetViews>
  <sheetFormatPr defaultColWidth="9.140625" defaultRowHeight="15.95" customHeight="1" x14ac:dyDescent="0.25"/>
  <cols>
    <col min="1" max="1" width="10.5703125" style="4" customWidth="1"/>
    <col min="2" max="2" width="45.85546875" style="4" customWidth="1"/>
    <col min="3" max="16384" width="9.140625" style="4"/>
  </cols>
  <sheetData>
    <row r="1" spans="1:2" ht="15.95" customHeight="1" x14ac:dyDescent="0.25">
      <c r="A1" s="274" t="str">
        <f>IF(ISBLANK(Setup!$C$5),"Example Limited",Setup!$C$5)</f>
        <v>Nasia Consult Co. Limited</v>
      </c>
    </row>
    <row r="2" spans="1:2" ht="15.95" customHeight="1" x14ac:dyDescent="0.25">
      <c r="A2" s="28" t="s">
        <v>213</v>
      </c>
    </row>
    <row r="3" spans="1:2" ht="15.95" customHeight="1" x14ac:dyDescent="0.25">
      <c r="A3" s="7" t="s">
        <v>244</v>
      </c>
    </row>
    <row r="4" spans="1:2" ht="25.5" x14ac:dyDescent="0.25">
      <c r="A4" s="31" t="s">
        <v>245</v>
      </c>
      <c r="B4" s="32" t="s">
        <v>246</v>
      </c>
    </row>
    <row r="5" spans="1:2" ht="15.95" customHeight="1" x14ac:dyDescent="0.25">
      <c r="A5" s="4" t="s">
        <v>215</v>
      </c>
      <c r="B5" s="4" t="s">
        <v>84</v>
      </c>
    </row>
    <row r="6" spans="1:2" ht="15.95" customHeight="1" x14ac:dyDescent="0.25">
      <c r="A6" s="4" t="s">
        <v>216</v>
      </c>
      <c r="B6" s="4" t="s">
        <v>135</v>
      </c>
    </row>
    <row r="7" spans="1:2" ht="15.95" customHeight="1" x14ac:dyDescent="0.25">
      <c r="A7" s="4" t="s">
        <v>217</v>
      </c>
      <c r="B7" s="4" t="s">
        <v>85</v>
      </c>
    </row>
    <row r="8" spans="1:2" ht="15.95" customHeight="1" x14ac:dyDescent="0.25">
      <c r="A8" s="4" t="s">
        <v>218</v>
      </c>
      <c r="B8" s="4" t="s">
        <v>86</v>
      </c>
    </row>
    <row r="9" spans="1:2" ht="15.95" customHeight="1" x14ac:dyDescent="0.25">
      <c r="A9" s="4" t="s">
        <v>219</v>
      </c>
      <c r="B9" s="4" t="s">
        <v>45</v>
      </c>
    </row>
    <row r="10" spans="1:2" ht="15.95" customHeight="1" x14ac:dyDescent="0.25">
      <c r="A10" s="4" t="s">
        <v>220</v>
      </c>
      <c r="B10" s="4" t="s">
        <v>105</v>
      </c>
    </row>
    <row r="11" spans="1:2" ht="15.95" customHeight="1" x14ac:dyDescent="0.25">
      <c r="A11" s="4" t="s">
        <v>221</v>
      </c>
      <c r="B11" s="4" t="s">
        <v>108</v>
      </c>
    </row>
    <row r="12" spans="1:2" ht="15.95" customHeight="1" x14ac:dyDescent="0.25">
      <c r="A12" s="4" t="s">
        <v>222</v>
      </c>
      <c r="B12" s="4" t="s">
        <v>46</v>
      </c>
    </row>
    <row r="13" spans="1:2" ht="15.95" customHeight="1" x14ac:dyDescent="0.25">
      <c r="A13" s="4" t="s">
        <v>223</v>
      </c>
      <c r="B13" s="4" t="s">
        <v>119</v>
      </c>
    </row>
    <row r="14" spans="1:2" ht="15.95" customHeight="1" x14ac:dyDescent="0.25">
      <c r="A14" s="4" t="s">
        <v>224</v>
      </c>
      <c r="B14" s="4" t="s">
        <v>124</v>
      </c>
    </row>
    <row r="15" spans="1:2" ht="15.95" customHeight="1" x14ac:dyDescent="0.25">
      <c r="A15" s="4" t="s">
        <v>225</v>
      </c>
      <c r="B15" s="4" t="s">
        <v>290</v>
      </c>
    </row>
    <row r="16" spans="1:2" ht="15.95" customHeight="1" x14ac:dyDescent="0.25">
      <c r="A16" s="4" t="s">
        <v>226</v>
      </c>
      <c r="B16" s="4" t="s">
        <v>278</v>
      </c>
    </row>
    <row r="17" spans="1:2" ht="15.95" customHeight="1" x14ac:dyDescent="0.25">
      <c r="A17" s="4" t="s">
        <v>227</v>
      </c>
      <c r="B17" s="4" t="s">
        <v>3</v>
      </c>
    </row>
    <row r="18" spans="1:2" ht="15.95" customHeight="1" x14ac:dyDescent="0.25">
      <c r="A18" s="4" t="s">
        <v>228</v>
      </c>
      <c r="B18" s="4" t="s">
        <v>31</v>
      </c>
    </row>
    <row r="19" spans="1:2" ht="15.95" customHeight="1" x14ac:dyDescent="0.25">
      <c r="A19" s="4" t="s">
        <v>229</v>
      </c>
      <c r="B19" s="4" t="s">
        <v>47</v>
      </c>
    </row>
    <row r="20" spans="1:2" ht="15.95" customHeight="1" x14ac:dyDescent="0.25">
      <c r="A20" s="4" t="s">
        <v>292</v>
      </c>
      <c r="B20" s="4" t="s">
        <v>115</v>
      </c>
    </row>
    <row r="21" spans="1:2" ht="15.95" customHeight="1" x14ac:dyDescent="0.25">
      <c r="A21" s="4" t="s">
        <v>235</v>
      </c>
      <c r="B21" s="4" t="s">
        <v>247</v>
      </c>
    </row>
    <row r="22" spans="1:2" ht="15.95" customHeight="1" x14ac:dyDescent="0.25">
      <c r="A22" s="4" t="s">
        <v>236</v>
      </c>
      <c r="B22" s="4" t="s">
        <v>230</v>
      </c>
    </row>
    <row r="23" spans="1:2" ht="15.95" customHeight="1" x14ac:dyDescent="0.25">
      <c r="A23" s="4" t="s">
        <v>237</v>
      </c>
      <c r="B23" s="4" t="s">
        <v>231</v>
      </c>
    </row>
    <row r="24" spans="1:2" ht="15.95" customHeight="1" x14ac:dyDescent="0.25">
      <c r="A24" s="4" t="s">
        <v>238</v>
      </c>
      <c r="B24" s="4" t="s">
        <v>232</v>
      </c>
    </row>
    <row r="25" spans="1:2" ht="15.95" customHeight="1" x14ac:dyDescent="0.25">
      <c r="A25" s="4" t="s">
        <v>239</v>
      </c>
      <c r="B25" s="4" t="s">
        <v>29</v>
      </c>
    </row>
    <row r="26" spans="1:2" ht="15.95" customHeight="1" x14ac:dyDescent="0.25">
      <c r="A26" s="4" t="s">
        <v>240</v>
      </c>
      <c r="B26" s="4" t="s">
        <v>233</v>
      </c>
    </row>
    <row r="27" spans="1:2" ht="15.95" customHeight="1" x14ac:dyDescent="0.25">
      <c r="A27" s="4" t="s">
        <v>241</v>
      </c>
      <c r="B27" s="4" t="s">
        <v>39</v>
      </c>
    </row>
    <row r="28" spans="1:2" ht="15.95" customHeight="1" x14ac:dyDescent="0.25">
      <c r="A28" s="4" t="s">
        <v>242</v>
      </c>
      <c r="B28" s="4" t="s">
        <v>12</v>
      </c>
    </row>
    <row r="29" spans="1:2" ht="15.95" customHeight="1" x14ac:dyDescent="0.25">
      <c r="A29" s="4" t="s">
        <v>243</v>
      </c>
      <c r="B29" s="4" t="s">
        <v>234</v>
      </c>
    </row>
    <row r="31" spans="1:2" s="3" customFormat="1" ht="15.95" customHeight="1" x14ac:dyDescent="0.2">
      <c r="A31" s="3" t="s">
        <v>44</v>
      </c>
    </row>
    <row r="32" spans="1:2" ht="15.95" customHeight="1" x14ac:dyDescent="0.25">
      <c r="A32" s="4" t="s">
        <v>248</v>
      </c>
      <c r="B32" s="4" t="s">
        <v>55</v>
      </c>
    </row>
    <row r="33" spans="1:2" ht="15.95" customHeight="1" x14ac:dyDescent="0.25">
      <c r="A33" s="4" t="s">
        <v>252</v>
      </c>
      <c r="B33" s="4" t="s">
        <v>49</v>
      </c>
    </row>
    <row r="34" spans="1:2" ht="15.95" customHeight="1" x14ac:dyDescent="0.25">
      <c r="A34" s="4" t="s">
        <v>253</v>
      </c>
      <c r="B34" s="4" t="s">
        <v>50</v>
      </c>
    </row>
    <row r="35" spans="1:2" ht="15.95" customHeight="1" x14ac:dyDescent="0.25">
      <c r="A35" s="4" t="s">
        <v>254</v>
      </c>
      <c r="B35" s="4" t="s">
        <v>249</v>
      </c>
    </row>
    <row r="36" spans="1:2" ht="15.95" customHeight="1" x14ac:dyDescent="0.25">
      <c r="A36" s="4" t="s">
        <v>255</v>
      </c>
      <c r="B36" s="4" t="s">
        <v>250</v>
      </c>
    </row>
  </sheetData>
  <pageMargins left="0.59055118110236227" right="0.59055118110236227" top="0.59055118110236227" bottom="0.59055118110236227" header="0.39370078740157483" footer="0.39370078740157483"/>
  <pageSetup paperSize="9" orientation="portrait"/>
  <headerFooter>
    <oddFooter>Page &amp;P of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108"/>
  <sheetViews>
    <sheetView zoomScale="115" zoomScaleNormal="115" workbookViewId="0">
      <pane ySplit="4" topLeftCell="A42" activePane="bottomLeft" state="frozen"/>
      <selection pane="bottomLeft" activeCell="C49" sqref="C49"/>
    </sheetView>
  </sheetViews>
  <sheetFormatPr defaultColWidth="9.140625" defaultRowHeight="15.95" customHeight="1" x14ac:dyDescent="0.25"/>
  <cols>
    <col min="1" max="1" width="10.5703125" style="12" customWidth="1"/>
    <col min="2" max="2" width="43.42578125" style="4" customWidth="1"/>
    <col min="3" max="3" width="18.5703125" style="34" customWidth="1"/>
    <col min="4" max="4" width="5.5703125" style="4" customWidth="1"/>
    <col min="5" max="5" width="18.5703125" style="34" customWidth="1"/>
    <col min="6" max="6" width="17.5703125" style="34" customWidth="1"/>
    <col min="7" max="7" width="18.5703125" style="34" customWidth="1"/>
    <col min="8" max="8" width="10.5703125" style="35" customWidth="1"/>
    <col min="9" max="16" width="15.5703125" style="4" customWidth="1"/>
    <col min="17" max="16384" width="9.140625" style="4"/>
  </cols>
  <sheetData>
    <row r="1" spans="1:11" ht="15.95" customHeight="1" x14ac:dyDescent="0.25">
      <c r="A1" s="274" t="str">
        <f>IF(ISBLANK(Setup!$C$5),"Example Limited",Setup!$C$5)</f>
        <v>Nasia Consult Co. Limited</v>
      </c>
      <c r="C1" s="33"/>
    </row>
    <row r="2" spans="1:11" ht="15.95" customHeight="1" x14ac:dyDescent="0.25">
      <c r="A2" s="28" t="s">
        <v>301</v>
      </c>
      <c r="C2" s="36"/>
      <c r="D2" s="7"/>
      <c r="E2" s="37">
        <f ca="1">IF(MONTH(Setup!$D$18)&gt;MONTH(Setup!$C$20),DATE(YEAR(Setup!$D$18),MONTH(Setup!$C$20)+1,0),DATE(YEAR(Setup!$D$18)-1,MONTH(Setup!$C$20)+1,0))</f>
        <v>45291</v>
      </c>
      <c r="F2" s="36"/>
      <c r="G2" s="37">
        <f>IF(MONTH($G$3)&gt;MONTH(Setup!$C$20),DATE(YEAR($G$3),MONTH(Setup!$C$20)+1,0),DATE(YEAR($G$3)-1,MONTH(Setup!$C$20)+1,0))</f>
        <v>45291</v>
      </c>
      <c r="H2" s="38"/>
    </row>
    <row r="3" spans="1:11" s="39" customFormat="1" ht="15.95" customHeight="1" x14ac:dyDescent="0.25">
      <c r="A3" s="7" t="s">
        <v>244</v>
      </c>
      <c r="C3" s="40">
        <f ca="1">DATE(YEAR(Setup!$D$16),MONTH(Setup!$D$16),0)</f>
        <v>45291</v>
      </c>
      <c r="E3" s="40">
        <f ca="1">DATE(YEAR(Setup!$D$18),MONTH(Setup!$D$18),0)</f>
        <v>45291</v>
      </c>
      <c r="F3" s="41"/>
      <c r="G3" s="42">
        <v>45657</v>
      </c>
      <c r="H3" s="43"/>
    </row>
    <row r="4" spans="1:11" s="2" customFormat="1" ht="25.5" x14ac:dyDescent="0.25">
      <c r="A4" s="31" t="s">
        <v>125</v>
      </c>
      <c r="B4" s="32" t="s">
        <v>126</v>
      </c>
      <c r="C4" s="44" t="s">
        <v>129</v>
      </c>
      <c r="E4" s="45" t="s">
        <v>127</v>
      </c>
      <c r="F4" s="45" t="s">
        <v>130</v>
      </c>
      <c r="G4" s="45" t="s">
        <v>128</v>
      </c>
      <c r="H4" s="45" t="s">
        <v>298</v>
      </c>
    </row>
    <row r="5" spans="1:11" ht="15.95" customHeight="1" x14ac:dyDescent="0.25">
      <c r="A5" s="46" t="s">
        <v>136</v>
      </c>
      <c r="B5" s="47" t="s">
        <v>87</v>
      </c>
      <c r="C5" s="48">
        <v>0</v>
      </c>
      <c r="E5" s="34" cm="1">
        <f t="array" aca="1" ref="E5" ca="1">IF(LEFT($A5,2)="IS",-SUMIFS(IncExcl,IncDocDate,"&lt;="&amp;$E$3,IncDocDate,"&gt;"&amp;$E$2,IncAccount,$A5)+SUMIFS(ExpExcl,ExpDocDate,"&lt;="&amp;$E$3,ExpDocDate,"&gt;"&amp;$E$2,ExpAccount,$A5),$C5-SUMIFS(IncExcl,IncDocDate,"&lt;="&amp;$E$3,IncDocDate,"&gt;"&amp;$C$3,IncAccount,$A5)+SUMIFS(ExpExcl,ExpDocDate,"&lt;="&amp;$E$3,ExpDocDate,"&gt;"&amp;$C$3,ExpAccount,$A5)+IF($A5="BS-1700",-SUMIFS(IncTax1,IncDocDate,"&lt;="&amp;$E$3,IncDocDate,"&gt;"&amp;$C$3)+SUMIFS(ExpTax1,ExpDocDate,"&lt;="&amp;$E$3,ExpDocDate,"&gt;"&amp;$C$3),0)+IF($A5="BS-1710",-IF(IncTaxCount=2,SUMIFS(IncTax2,IncDocDate,"&lt;="&amp;$E$3,IncDocDate,"&gt;"&amp;$C$3),0)+IF(ExpTaxCount=2,SUMIFS(ExpTax2,ExpDocDate,"&lt;="&amp;$E$3,ExpDocDate,"&gt;"&amp;$C$3),0),0))</f>
        <v>0</v>
      </c>
      <c r="F5" s="34">
        <f ca="1">G5-E5</f>
        <v>0</v>
      </c>
      <c r="G5" s="34" cm="1">
        <f t="array" aca="1" ref="G5" ca="1">IF(LEFT($A5,2)="IS",-SUMIFS(IncExcl,IncDocDate,"&lt;="&amp;$G$3,IncDocDate,"&gt;"&amp;$G$2,IncAccount,$A5)+SUMIFS(ExpExcl,ExpDocDate,"&lt;="&amp;$G$3,ExpDocDate,"&gt;"&amp;$G$2,ExpAccount,$A5),$C5-SUMIFS(IncExcl,IncDocDate,"&lt;="&amp;$G$3,IncDocDate,"&gt;"&amp;$C$3,IncAccount,$A5)+SUMIFS(ExpExcl,ExpDocDate,"&lt;="&amp;$G$3,ExpDocDate,"&gt;"&amp;$C$3,ExpAccount,$A5)+IF($A5="BS-1700",-SUMIFS(IncTax1,IncDocDate,"&lt;="&amp;$G$3,IncDocDate,"&gt;"&amp;$C$3)+SUMIFS(ExpTax1,ExpDocDate,"&lt;="&amp;$G$3,ExpDocDate,"&gt;"&amp;$C$3),0)+IF($A5="BS-1710",-IF(IncTaxCount=2,SUMIFS(IncTax2,IncDocDate,"&lt;="&amp;$G$3,IncDocDate,"&gt;"&amp;$C$3),0)+IF(ExpTaxCount=2,SUMIFS(ExpTax2,ExpDocDate,"&lt;="&amp;$G$3,ExpDocDate,"&gt;"&amp;$C$3),0),0))</f>
        <v>0</v>
      </c>
      <c r="H5" s="35" t="str">
        <f t="shared" ref="H5:H37" ca="1" si="0">IF(LEFT($A5,2)="BS",IF(ISNA(MATCH(LEFT($A5,5)&amp;"G",KeyBS,0)),IF(ISNA(MATCH($A5,KeyBS,0)),"Error!","Account"),IF(ISNA(MATCH($A5,KeyBS,0)),"Group","Double!")),IF(ISNA(MATCH(LEFT($A5,5)&amp;"G",KeyIS,0)),IF(ISNA(MATCH($A5,KeyIS,0)),"Error!","Account"),IF(ISNA(MATCH($A5,KeyIS,0)),"Group","Double!")))</f>
        <v>Group</v>
      </c>
      <c r="K5" s="49"/>
    </row>
    <row r="6" spans="1:11" ht="15.95" customHeight="1" x14ac:dyDescent="0.25">
      <c r="A6" s="46" t="s">
        <v>137</v>
      </c>
      <c r="B6" s="47" t="s">
        <v>88</v>
      </c>
      <c r="C6" s="48">
        <v>0</v>
      </c>
      <c r="E6" s="34" cm="1">
        <f t="array" aca="1" ref="E6" ca="1">IF(LEFT($A6,2)="IS",-SUMIFS(IncExcl,IncDocDate,"&lt;="&amp;$E$3,IncDocDate,"&gt;"&amp;$E$2,IncAccount,$A6)+SUMIFS(ExpExcl,ExpDocDate,"&lt;="&amp;$E$3,ExpDocDate,"&gt;"&amp;$E$2,ExpAccount,$A6),$C6-SUMIFS(IncExcl,IncDocDate,"&lt;="&amp;$E$3,IncDocDate,"&gt;"&amp;$C$3,IncAccount,$A6)+SUMIFS(ExpExcl,ExpDocDate,"&lt;="&amp;$E$3,ExpDocDate,"&gt;"&amp;$C$3,ExpAccount,$A6)+IF($A6="BS-1700",-SUMIFS(IncTax1,IncDocDate,"&lt;="&amp;$E$3,IncDocDate,"&gt;"&amp;$C$3)+SUMIFS(ExpTax1,ExpDocDate,"&lt;="&amp;$E$3,ExpDocDate,"&gt;"&amp;$C$3),0)+IF($A6="BS-1710",-IF(IncTaxCount=2,SUMIFS(IncTax2,IncDocDate,"&lt;="&amp;$E$3,IncDocDate,"&gt;"&amp;$C$3),0)+IF(ExpTaxCount=2,SUMIFS(ExpTax2,ExpDocDate,"&lt;="&amp;$E$3,ExpDocDate,"&gt;"&amp;$C$3),0),0))</f>
        <v>0</v>
      </c>
      <c r="F6" s="34">
        <f t="shared" ref="F6:F72" ca="1" si="1">G6-E6</f>
        <v>0</v>
      </c>
      <c r="G6" s="34" cm="1">
        <f t="array" aca="1" ref="G6" ca="1">IF(LEFT($A6,2)="IS",-SUMIFS(IncExcl,IncDocDate,"&lt;="&amp;$G$3,IncDocDate,"&gt;"&amp;$G$2,IncAccount,$A6)+SUMIFS(ExpExcl,ExpDocDate,"&lt;="&amp;$G$3,ExpDocDate,"&gt;"&amp;$G$2,ExpAccount,$A6),$C6-SUMIFS(IncExcl,IncDocDate,"&lt;="&amp;$G$3,IncDocDate,"&gt;"&amp;$C$3,IncAccount,$A6)+SUMIFS(ExpExcl,ExpDocDate,"&lt;="&amp;$G$3,ExpDocDate,"&gt;"&amp;$C$3,ExpAccount,$A6)+IF($A6="BS-1700",-SUMIFS(IncTax1,IncDocDate,"&lt;="&amp;$G$3,IncDocDate,"&gt;"&amp;$C$3)+SUMIFS(ExpTax1,ExpDocDate,"&lt;="&amp;$G$3,ExpDocDate,"&gt;"&amp;$C$3),0)+IF($A6="BS-1710",-IF(IncTaxCount=2,SUMIFS(IncTax2,IncDocDate,"&lt;="&amp;$G$3,IncDocDate,"&gt;"&amp;$C$3),0)+IF(ExpTaxCount=2,SUMIFS(ExpTax2,ExpDocDate,"&lt;="&amp;$G$3,ExpDocDate,"&gt;"&amp;$C$3),0),0))</f>
        <v>0</v>
      </c>
      <c r="H6" s="35" t="str">
        <f t="shared" ca="1" si="0"/>
        <v>Group</v>
      </c>
      <c r="K6" s="49"/>
    </row>
    <row r="7" spans="1:11" ht="15.95" customHeight="1" x14ac:dyDescent="0.25">
      <c r="A7" s="46" t="s">
        <v>138</v>
      </c>
      <c r="B7" s="47" t="s">
        <v>89</v>
      </c>
      <c r="C7" s="48">
        <v>0</v>
      </c>
      <c r="E7" s="34" cm="1">
        <f t="array" aca="1" ref="E7" ca="1">IF(LEFT($A7,2)="IS",-SUMIFS(IncExcl,IncDocDate,"&lt;="&amp;$E$3,IncDocDate,"&gt;"&amp;$E$2,IncAccount,$A7)+SUMIFS(ExpExcl,ExpDocDate,"&lt;="&amp;$E$3,ExpDocDate,"&gt;"&amp;$E$2,ExpAccount,$A7),$C7-SUMIFS(IncExcl,IncDocDate,"&lt;="&amp;$E$3,IncDocDate,"&gt;"&amp;$C$3,IncAccount,$A7)+SUMIFS(ExpExcl,ExpDocDate,"&lt;="&amp;$E$3,ExpDocDate,"&gt;"&amp;$C$3,ExpAccount,$A7)+IF($A7="BS-1700",-SUMIFS(IncTax1,IncDocDate,"&lt;="&amp;$E$3,IncDocDate,"&gt;"&amp;$C$3)+SUMIFS(ExpTax1,ExpDocDate,"&lt;="&amp;$E$3,ExpDocDate,"&gt;"&amp;$C$3),0)+IF($A7="BS-1710",-IF(IncTaxCount=2,SUMIFS(IncTax2,IncDocDate,"&lt;="&amp;$E$3,IncDocDate,"&gt;"&amp;$C$3),0)+IF(ExpTaxCount=2,SUMIFS(ExpTax2,ExpDocDate,"&lt;="&amp;$E$3,ExpDocDate,"&gt;"&amp;$C$3),0),0))</f>
        <v>0</v>
      </c>
      <c r="F7" s="34">
        <f t="shared" ca="1" si="1"/>
        <v>0</v>
      </c>
      <c r="G7" s="34" cm="1">
        <f t="array" aca="1" ref="G7" ca="1">IF(LEFT($A7,2)="IS",-SUMIFS(IncExcl,IncDocDate,"&lt;="&amp;$G$3,IncDocDate,"&gt;"&amp;$G$2,IncAccount,$A7)+SUMIFS(ExpExcl,ExpDocDate,"&lt;="&amp;$G$3,ExpDocDate,"&gt;"&amp;$G$2,ExpAccount,$A7),$C7-SUMIFS(IncExcl,IncDocDate,"&lt;="&amp;$G$3,IncDocDate,"&gt;"&amp;$C$3,IncAccount,$A7)+SUMIFS(ExpExcl,ExpDocDate,"&lt;="&amp;$G$3,ExpDocDate,"&gt;"&amp;$C$3,ExpAccount,$A7)+IF($A7="BS-1700",-SUMIFS(IncTax1,IncDocDate,"&lt;="&amp;$G$3,IncDocDate,"&gt;"&amp;$C$3)+SUMIFS(ExpTax1,ExpDocDate,"&lt;="&amp;$G$3,ExpDocDate,"&gt;"&amp;$C$3),0)+IF($A7="BS-1710",-IF(IncTaxCount=2,SUMIFS(IncTax2,IncDocDate,"&lt;="&amp;$G$3,IncDocDate,"&gt;"&amp;$C$3),0)+IF(ExpTaxCount=2,SUMIFS(ExpTax2,ExpDocDate,"&lt;="&amp;$G$3,ExpDocDate,"&gt;"&amp;$C$3),0),0))</f>
        <v>0</v>
      </c>
      <c r="H7" s="35" t="str">
        <f t="shared" ca="1" si="0"/>
        <v>Group</v>
      </c>
      <c r="K7" s="49"/>
    </row>
    <row r="8" spans="1:11" ht="15.95" customHeight="1" x14ac:dyDescent="0.25">
      <c r="A8" s="46" t="s">
        <v>139</v>
      </c>
      <c r="B8" s="47" t="s">
        <v>90</v>
      </c>
      <c r="C8" s="48">
        <v>0</v>
      </c>
      <c r="E8" s="34" cm="1">
        <f t="array" aca="1" ref="E8" ca="1">IF(LEFT($A8,2)="IS",-SUMIFS(IncExcl,IncDocDate,"&lt;="&amp;$E$3,IncDocDate,"&gt;"&amp;$E$2,IncAccount,$A8)+SUMIFS(ExpExcl,ExpDocDate,"&lt;="&amp;$E$3,ExpDocDate,"&gt;"&amp;$E$2,ExpAccount,$A8),$C8-SUMIFS(IncExcl,IncDocDate,"&lt;="&amp;$E$3,IncDocDate,"&gt;"&amp;$C$3,IncAccount,$A8)+SUMIFS(ExpExcl,ExpDocDate,"&lt;="&amp;$E$3,ExpDocDate,"&gt;"&amp;$C$3,ExpAccount,$A8)+IF($A8="BS-1700",-SUMIFS(IncTax1,IncDocDate,"&lt;="&amp;$E$3,IncDocDate,"&gt;"&amp;$C$3)+SUMIFS(ExpTax1,ExpDocDate,"&lt;="&amp;$E$3,ExpDocDate,"&gt;"&amp;$C$3),0)+IF($A8="BS-1710",-IF(IncTaxCount=2,SUMIFS(IncTax2,IncDocDate,"&lt;="&amp;$E$3,IncDocDate,"&gt;"&amp;$C$3),0)+IF(ExpTaxCount=2,SUMIFS(ExpTax2,ExpDocDate,"&lt;="&amp;$E$3,ExpDocDate,"&gt;"&amp;$C$3),0),0))</f>
        <v>0</v>
      </c>
      <c r="F8" s="34">
        <f t="shared" ca="1" si="1"/>
        <v>0</v>
      </c>
      <c r="G8" s="34" cm="1">
        <f t="array" aca="1" ref="G8" ca="1">IF(LEFT($A8,2)="IS",-SUMIFS(IncExcl,IncDocDate,"&lt;="&amp;$G$3,IncDocDate,"&gt;"&amp;$G$2,IncAccount,$A8)+SUMIFS(ExpExcl,ExpDocDate,"&lt;="&amp;$G$3,ExpDocDate,"&gt;"&amp;$G$2,ExpAccount,$A8),$C8-SUMIFS(IncExcl,IncDocDate,"&lt;="&amp;$G$3,IncDocDate,"&gt;"&amp;$C$3,IncAccount,$A8)+SUMIFS(ExpExcl,ExpDocDate,"&lt;="&amp;$G$3,ExpDocDate,"&gt;"&amp;$C$3,ExpAccount,$A8)+IF($A8="BS-1700",-SUMIFS(IncTax1,IncDocDate,"&lt;="&amp;$G$3,IncDocDate,"&gt;"&amp;$C$3)+SUMIFS(ExpTax1,ExpDocDate,"&lt;="&amp;$G$3,ExpDocDate,"&gt;"&amp;$C$3),0)+IF($A8="BS-1710",-IF(IncTaxCount=2,SUMIFS(IncTax2,IncDocDate,"&lt;="&amp;$G$3,IncDocDate,"&gt;"&amp;$C$3),0)+IF(ExpTaxCount=2,SUMIFS(ExpTax2,ExpDocDate,"&lt;="&amp;$G$3,ExpDocDate,"&gt;"&amp;$C$3),0),0))</f>
        <v>0</v>
      </c>
      <c r="H8" s="35" t="str">
        <f t="shared" ca="1" si="0"/>
        <v>Group</v>
      </c>
      <c r="K8" s="49"/>
    </row>
    <row r="9" spans="1:11" ht="15.95" customHeight="1" x14ac:dyDescent="0.25">
      <c r="A9" s="46" t="s">
        <v>140</v>
      </c>
      <c r="B9" s="47" t="s">
        <v>91</v>
      </c>
      <c r="C9" s="48">
        <v>0</v>
      </c>
      <c r="E9" s="34" cm="1">
        <f t="array" aca="1" ref="E9" ca="1">IF(LEFT($A9,2)="IS",-SUMIFS(IncExcl,IncDocDate,"&lt;="&amp;$E$3,IncDocDate,"&gt;"&amp;$E$2,IncAccount,$A9)+SUMIFS(ExpExcl,ExpDocDate,"&lt;="&amp;$E$3,ExpDocDate,"&gt;"&amp;$E$2,ExpAccount,$A9),$C9-SUMIFS(IncExcl,IncDocDate,"&lt;="&amp;$E$3,IncDocDate,"&gt;"&amp;$C$3,IncAccount,$A9)+SUMIFS(ExpExcl,ExpDocDate,"&lt;="&amp;$E$3,ExpDocDate,"&gt;"&amp;$C$3,ExpAccount,$A9)+IF($A9="BS-1700",-SUMIFS(IncTax1,IncDocDate,"&lt;="&amp;$E$3,IncDocDate,"&gt;"&amp;$C$3)+SUMIFS(ExpTax1,ExpDocDate,"&lt;="&amp;$E$3,ExpDocDate,"&gt;"&amp;$C$3),0)+IF($A9="BS-1710",-IF(IncTaxCount=2,SUMIFS(IncTax2,IncDocDate,"&lt;="&amp;$E$3,IncDocDate,"&gt;"&amp;$C$3),0)+IF(ExpTaxCount=2,SUMIFS(ExpTax2,ExpDocDate,"&lt;="&amp;$E$3,ExpDocDate,"&gt;"&amp;$C$3),0),0))</f>
        <v>0</v>
      </c>
      <c r="F9" s="34">
        <f t="shared" ca="1" si="1"/>
        <v>0</v>
      </c>
      <c r="G9" s="34" cm="1">
        <f t="array" aca="1" ref="G9" ca="1">IF(LEFT($A9,2)="IS",-SUMIFS(IncExcl,IncDocDate,"&lt;="&amp;$G$3,IncDocDate,"&gt;"&amp;$G$2,IncAccount,$A9)+SUMIFS(ExpExcl,ExpDocDate,"&lt;="&amp;$G$3,ExpDocDate,"&gt;"&amp;$G$2,ExpAccount,$A9),$C9-SUMIFS(IncExcl,IncDocDate,"&lt;="&amp;$G$3,IncDocDate,"&gt;"&amp;$C$3,IncAccount,$A9)+SUMIFS(ExpExcl,ExpDocDate,"&lt;="&amp;$G$3,ExpDocDate,"&gt;"&amp;$C$3,ExpAccount,$A9)+IF($A9="BS-1700",-SUMIFS(IncTax1,IncDocDate,"&lt;="&amp;$G$3,IncDocDate,"&gt;"&amp;$C$3)+SUMIFS(ExpTax1,ExpDocDate,"&lt;="&amp;$G$3,ExpDocDate,"&gt;"&amp;$C$3),0)+IF($A9="BS-1710",-IF(IncTaxCount=2,SUMIFS(IncTax2,IncDocDate,"&lt;="&amp;$G$3,IncDocDate,"&gt;"&amp;$C$3),0)+IF(ExpTaxCount=2,SUMIFS(ExpTax2,ExpDocDate,"&lt;="&amp;$G$3,ExpDocDate,"&gt;"&amp;$C$3),0),0))</f>
        <v>0</v>
      </c>
      <c r="H9" s="35" t="str">
        <f t="shared" ca="1" si="0"/>
        <v>Group</v>
      </c>
      <c r="K9" s="49"/>
    </row>
    <row r="10" spans="1:11" ht="15.95" customHeight="1" x14ac:dyDescent="0.25">
      <c r="A10" s="46" t="s">
        <v>141</v>
      </c>
      <c r="B10" s="47" t="s">
        <v>92</v>
      </c>
      <c r="C10" s="48">
        <v>0</v>
      </c>
      <c r="E10" s="34" cm="1">
        <f t="array" aca="1" ref="E10" ca="1">IF(LEFT($A10,2)="IS",-SUMIFS(IncExcl,IncDocDate,"&lt;="&amp;$E$3,IncDocDate,"&gt;"&amp;$E$2,IncAccount,$A10)+SUMIFS(ExpExcl,ExpDocDate,"&lt;="&amp;$E$3,ExpDocDate,"&gt;"&amp;$E$2,ExpAccount,$A10),$C10-SUMIFS(IncExcl,IncDocDate,"&lt;="&amp;$E$3,IncDocDate,"&gt;"&amp;$C$3,IncAccount,$A10)+SUMIFS(ExpExcl,ExpDocDate,"&lt;="&amp;$E$3,ExpDocDate,"&gt;"&amp;$C$3,ExpAccount,$A10)+IF($A10="BS-1700",-SUMIFS(IncTax1,IncDocDate,"&lt;="&amp;$E$3,IncDocDate,"&gt;"&amp;$C$3)+SUMIFS(ExpTax1,ExpDocDate,"&lt;="&amp;$E$3,ExpDocDate,"&gt;"&amp;$C$3),0)+IF($A10="BS-1710",-IF(IncTaxCount=2,SUMIFS(IncTax2,IncDocDate,"&lt;="&amp;$E$3,IncDocDate,"&gt;"&amp;$C$3),0)+IF(ExpTaxCount=2,SUMIFS(ExpTax2,ExpDocDate,"&lt;="&amp;$E$3,ExpDocDate,"&gt;"&amp;$C$3),0),0))</f>
        <v>0</v>
      </c>
      <c r="F10" s="34">
        <f t="shared" ca="1" si="1"/>
        <v>0</v>
      </c>
      <c r="G10" s="34" cm="1">
        <f t="array" aca="1" ref="G10" ca="1">IF(LEFT($A10,2)="IS",-SUMIFS(IncExcl,IncDocDate,"&lt;="&amp;$G$3,IncDocDate,"&gt;"&amp;$G$2,IncAccount,$A10)+SUMIFS(ExpExcl,ExpDocDate,"&lt;="&amp;$G$3,ExpDocDate,"&gt;"&amp;$G$2,ExpAccount,$A10),$C10-SUMIFS(IncExcl,IncDocDate,"&lt;="&amp;$G$3,IncDocDate,"&gt;"&amp;$C$3,IncAccount,$A10)+SUMIFS(ExpExcl,ExpDocDate,"&lt;="&amp;$G$3,ExpDocDate,"&gt;"&amp;$C$3,ExpAccount,$A10)+IF($A10="BS-1700",-SUMIFS(IncTax1,IncDocDate,"&lt;="&amp;$G$3,IncDocDate,"&gt;"&amp;$C$3)+SUMIFS(ExpTax1,ExpDocDate,"&lt;="&amp;$G$3,ExpDocDate,"&gt;"&amp;$C$3),0)+IF($A10="BS-1710",-IF(IncTaxCount=2,SUMIFS(IncTax2,IncDocDate,"&lt;="&amp;$G$3,IncDocDate,"&gt;"&amp;$C$3),0)+IF(ExpTaxCount=2,SUMIFS(ExpTax2,ExpDocDate,"&lt;="&amp;$G$3,ExpDocDate,"&gt;"&amp;$C$3),0),0))</f>
        <v>0</v>
      </c>
      <c r="H10" s="35" t="str">
        <f t="shared" ca="1" si="0"/>
        <v>Group</v>
      </c>
      <c r="K10" s="49"/>
    </row>
    <row r="11" spans="1:11" ht="15.95" customHeight="1" x14ac:dyDescent="0.25">
      <c r="A11" s="46" t="s">
        <v>142</v>
      </c>
      <c r="B11" s="47" t="s">
        <v>93</v>
      </c>
      <c r="C11" s="48">
        <v>0</v>
      </c>
      <c r="E11" s="34" cm="1">
        <f t="array" aca="1" ref="E11" ca="1">IF(LEFT($A11,2)="IS",-SUMIFS(IncExcl,IncDocDate,"&lt;="&amp;$E$3,IncDocDate,"&gt;"&amp;$E$2,IncAccount,$A11)+SUMIFS(ExpExcl,ExpDocDate,"&lt;="&amp;$E$3,ExpDocDate,"&gt;"&amp;$E$2,ExpAccount,$A11),$C11-SUMIFS(IncExcl,IncDocDate,"&lt;="&amp;$E$3,IncDocDate,"&gt;"&amp;$C$3,IncAccount,$A11)+SUMIFS(ExpExcl,ExpDocDate,"&lt;="&amp;$E$3,ExpDocDate,"&gt;"&amp;$C$3,ExpAccount,$A11)+IF($A11="BS-1700",-SUMIFS(IncTax1,IncDocDate,"&lt;="&amp;$E$3,IncDocDate,"&gt;"&amp;$C$3)+SUMIFS(ExpTax1,ExpDocDate,"&lt;="&amp;$E$3,ExpDocDate,"&gt;"&amp;$C$3),0)+IF($A11="BS-1710",-IF(IncTaxCount=2,SUMIFS(IncTax2,IncDocDate,"&lt;="&amp;$E$3,IncDocDate,"&gt;"&amp;$C$3),0)+IF(ExpTaxCount=2,SUMIFS(ExpTax2,ExpDocDate,"&lt;="&amp;$E$3,ExpDocDate,"&gt;"&amp;$C$3),0),0))</f>
        <v>0</v>
      </c>
      <c r="F11" s="34">
        <f t="shared" ca="1" si="1"/>
        <v>0</v>
      </c>
      <c r="G11" s="34" cm="1">
        <f t="array" aca="1" ref="G11" ca="1">IF(LEFT($A11,2)="IS",-SUMIFS(IncExcl,IncDocDate,"&lt;="&amp;$G$3,IncDocDate,"&gt;"&amp;$G$2,IncAccount,$A11)+SUMIFS(ExpExcl,ExpDocDate,"&lt;="&amp;$G$3,ExpDocDate,"&gt;"&amp;$G$2,ExpAccount,$A11),$C11-SUMIFS(IncExcl,IncDocDate,"&lt;="&amp;$G$3,IncDocDate,"&gt;"&amp;$C$3,IncAccount,$A11)+SUMIFS(ExpExcl,ExpDocDate,"&lt;="&amp;$G$3,ExpDocDate,"&gt;"&amp;$C$3,ExpAccount,$A11)+IF($A11="BS-1700",-SUMIFS(IncTax1,IncDocDate,"&lt;="&amp;$G$3,IncDocDate,"&gt;"&amp;$C$3)+SUMIFS(ExpTax1,ExpDocDate,"&lt;="&amp;$G$3,ExpDocDate,"&gt;"&amp;$C$3),0)+IF($A11="BS-1710",-IF(IncTaxCount=2,SUMIFS(IncTax2,IncDocDate,"&lt;="&amp;$G$3,IncDocDate,"&gt;"&amp;$C$3),0)+IF(ExpTaxCount=2,SUMIFS(ExpTax2,ExpDocDate,"&lt;="&amp;$G$3,ExpDocDate,"&gt;"&amp;$C$3),0),0))</f>
        <v>0</v>
      </c>
      <c r="H11" s="35" t="str">
        <f t="shared" ca="1" si="0"/>
        <v>Group</v>
      </c>
      <c r="K11" s="12"/>
    </row>
    <row r="12" spans="1:11" ht="15.95" customHeight="1" x14ac:dyDescent="0.25">
      <c r="A12" s="46" t="s">
        <v>143</v>
      </c>
      <c r="B12" s="47" t="s">
        <v>94</v>
      </c>
      <c r="C12" s="48">
        <v>0</v>
      </c>
      <c r="E12" s="34" cm="1">
        <f t="array" aca="1" ref="E12" ca="1">IF(LEFT($A12,2)="IS",-SUMIFS(IncExcl,IncDocDate,"&lt;="&amp;$E$3,IncDocDate,"&gt;"&amp;$E$2,IncAccount,$A12)+SUMIFS(ExpExcl,ExpDocDate,"&lt;="&amp;$E$3,ExpDocDate,"&gt;"&amp;$E$2,ExpAccount,$A12),$C12-SUMIFS(IncExcl,IncDocDate,"&lt;="&amp;$E$3,IncDocDate,"&gt;"&amp;$C$3,IncAccount,$A12)+SUMIFS(ExpExcl,ExpDocDate,"&lt;="&amp;$E$3,ExpDocDate,"&gt;"&amp;$C$3,ExpAccount,$A12)+IF($A12="BS-1700",-SUMIFS(IncTax1,IncDocDate,"&lt;="&amp;$E$3,IncDocDate,"&gt;"&amp;$C$3)+SUMIFS(ExpTax1,ExpDocDate,"&lt;="&amp;$E$3,ExpDocDate,"&gt;"&amp;$C$3),0)+IF($A12="BS-1710",-IF(IncTaxCount=2,SUMIFS(IncTax2,IncDocDate,"&lt;="&amp;$E$3,IncDocDate,"&gt;"&amp;$C$3),0)+IF(ExpTaxCount=2,SUMIFS(ExpTax2,ExpDocDate,"&lt;="&amp;$E$3,ExpDocDate,"&gt;"&amp;$C$3),0),0))</f>
        <v>0</v>
      </c>
      <c r="F12" s="34">
        <f t="shared" ca="1" si="1"/>
        <v>0</v>
      </c>
      <c r="G12" s="34" cm="1">
        <f t="array" aca="1" ref="G12" ca="1">IF(LEFT($A12,2)="IS",-SUMIFS(IncExcl,IncDocDate,"&lt;="&amp;$G$3,IncDocDate,"&gt;"&amp;$G$2,IncAccount,$A12)+SUMIFS(ExpExcl,ExpDocDate,"&lt;="&amp;$G$3,ExpDocDate,"&gt;"&amp;$G$2,ExpAccount,$A12),$C12-SUMIFS(IncExcl,IncDocDate,"&lt;="&amp;$G$3,IncDocDate,"&gt;"&amp;$C$3,IncAccount,$A12)+SUMIFS(ExpExcl,ExpDocDate,"&lt;="&amp;$G$3,ExpDocDate,"&gt;"&amp;$C$3,ExpAccount,$A12)+IF($A12="BS-1700",-SUMIFS(IncTax1,IncDocDate,"&lt;="&amp;$G$3,IncDocDate,"&gt;"&amp;$C$3)+SUMIFS(ExpTax1,ExpDocDate,"&lt;="&amp;$G$3,ExpDocDate,"&gt;"&amp;$C$3),0)+IF($A12="BS-1710",-IF(IncTaxCount=2,SUMIFS(IncTax2,IncDocDate,"&lt;="&amp;$G$3,IncDocDate,"&gt;"&amp;$C$3),0)+IF(ExpTaxCount=2,SUMIFS(ExpTax2,ExpDocDate,"&lt;="&amp;$G$3,ExpDocDate,"&gt;"&amp;$C$3),0),0))</f>
        <v>0</v>
      </c>
      <c r="H12" s="35" t="str">
        <f t="shared" ca="1" si="0"/>
        <v>Group</v>
      </c>
      <c r="K12" s="12"/>
    </row>
    <row r="13" spans="1:11" ht="15.95" customHeight="1" x14ac:dyDescent="0.25">
      <c r="A13" s="46" t="s">
        <v>144</v>
      </c>
      <c r="B13" s="47" t="s">
        <v>95</v>
      </c>
      <c r="C13" s="48">
        <v>0</v>
      </c>
      <c r="E13" s="34" cm="1">
        <f t="array" aca="1" ref="E13" ca="1">IF(LEFT($A13,2)="IS",-SUMIFS(IncExcl,IncDocDate,"&lt;="&amp;$E$3,IncDocDate,"&gt;"&amp;$E$2,IncAccount,$A13)+SUMIFS(ExpExcl,ExpDocDate,"&lt;="&amp;$E$3,ExpDocDate,"&gt;"&amp;$E$2,ExpAccount,$A13),$C13-SUMIFS(IncExcl,IncDocDate,"&lt;="&amp;$E$3,IncDocDate,"&gt;"&amp;$C$3,IncAccount,$A13)+SUMIFS(ExpExcl,ExpDocDate,"&lt;="&amp;$E$3,ExpDocDate,"&gt;"&amp;$C$3,ExpAccount,$A13)+IF($A13="BS-1700",-SUMIFS(IncTax1,IncDocDate,"&lt;="&amp;$E$3,IncDocDate,"&gt;"&amp;$C$3)+SUMIFS(ExpTax1,ExpDocDate,"&lt;="&amp;$E$3,ExpDocDate,"&gt;"&amp;$C$3),0)+IF($A13="BS-1710",-IF(IncTaxCount=2,SUMIFS(IncTax2,IncDocDate,"&lt;="&amp;$E$3,IncDocDate,"&gt;"&amp;$C$3),0)+IF(ExpTaxCount=2,SUMIFS(ExpTax2,ExpDocDate,"&lt;="&amp;$E$3,ExpDocDate,"&gt;"&amp;$C$3),0),0))</f>
        <v>0</v>
      </c>
      <c r="F13" s="34">
        <f t="shared" ca="1" si="1"/>
        <v>0</v>
      </c>
      <c r="G13" s="34" cm="1">
        <f t="array" aca="1" ref="G13" ca="1">IF(LEFT($A13,2)="IS",-SUMIFS(IncExcl,IncDocDate,"&lt;="&amp;$G$3,IncDocDate,"&gt;"&amp;$G$2,IncAccount,$A13)+SUMIFS(ExpExcl,ExpDocDate,"&lt;="&amp;$G$3,ExpDocDate,"&gt;"&amp;$G$2,ExpAccount,$A13),$C13-SUMIFS(IncExcl,IncDocDate,"&lt;="&amp;$G$3,IncDocDate,"&gt;"&amp;$C$3,IncAccount,$A13)+SUMIFS(ExpExcl,ExpDocDate,"&lt;="&amp;$G$3,ExpDocDate,"&gt;"&amp;$C$3,ExpAccount,$A13)+IF($A13="BS-1700",-SUMIFS(IncTax1,IncDocDate,"&lt;="&amp;$G$3,IncDocDate,"&gt;"&amp;$C$3)+SUMIFS(ExpTax1,ExpDocDate,"&lt;="&amp;$G$3,ExpDocDate,"&gt;"&amp;$C$3),0)+IF($A13="BS-1710",-IF(IncTaxCount=2,SUMIFS(IncTax2,IncDocDate,"&lt;="&amp;$G$3,IncDocDate,"&gt;"&amp;$C$3),0)+IF(ExpTaxCount=2,SUMIFS(ExpTax2,ExpDocDate,"&lt;="&amp;$G$3,ExpDocDate,"&gt;"&amp;$C$3),0),0))</f>
        <v>0</v>
      </c>
      <c r="H13" s="35" t="str">
        <f t="shared" ca="1" si="0"/>
        <v>Group</v>
      </c>
      <c r="K13" s="12"/>
    </row>
    <row r="14" spans="1:11" ht="15.95" customHeight="1" x14ac:dyDescent="0.25">
      <c r="A14" s="46" t="s">
        <v>145</v>
      </c>
      <c r="B14" s="47" t="s">
        <v>96</v>
      </c>
      <c r="C14" s="48">
        <v>0</v>
      </c>
      <c r="E14" s="34" cm="1">
        <f t="array" aca="1" ref="E14" ca="1">IF(LEFT($A14,2)="IS",-SUMIFS(IncExcl,IncDocDate,"&lt;="&amp;$E$3,IncDocDate,"&gt;"&amp;$E$2,IncAccount,$A14)+SUMIFS(ExpExcl,ExpDocDate,"&lt;="&amp;$E$3,ExpDocDate,"&gt;"&amp;$E$2,ExpAccount,$A14),$C14-SUMIFS(IncExcl,IncDocDate,"&lt;="&amp;$E$3,IncDocDate,"&gt;"&amp;$C$3,IncAccount,$A14)+SUMIFS(ExpExcl,ExpDocDate,"&lt;="&amp;$E$3,ExpDocDate,"&gt;"&amp;$C$3,ExpAccount,$A14)+IF($A14="BS-1700",-SUMIFS(IncTax1,IncDocDate,"&lt;="&amp;$E$3,IncDocDate,"&gt;"&amp;$C$3)+SUMIFS(ExpTax1,ExpDocDate,"&lt;="&amp;$E$3,ExpDocDate,"&gt;"&amp;$C$3),0)+IF($A14="BS-1710",-IF(IncTaxCount=2,SUMIFS(IncTax2,IncDocDate,"&lt;="&amp;$E$3,IncDocDate,"&gt;"&amp;$C$3),0)+IF(ExpTaxCount=2,SUMIFS(ExpTax2,ExpDocDate,"&lt;="&amp;$E$3,ExpDocDate,"&gt;"&amp;$C$3),0),0))</f>
        <v>0</v>
      </c>
      <c r="F14" s="34">
        <f t="shared" ca="1" si="1"/>
        <v>0</v>
      </c>
      <c r="G14" s="34" cm="1">
        <f t="array" aca="1" ref="G14" ca="1">IF(LEFT($A14,2)="IS",-SUMIFS(IncExcl,IncDocDate,"&lt;="&amp;$G$3,IncDocDate,"&gt;"&amp;$G$2,IncAccount,$A14)+SUMIFS(ExpExcl,ExpDocDate,"&lt;="&amp;$G$3,ExpDocDate,"&gt;"&amp;$G$2,ExpAccount,$A14),$C14-SUMIFS(IncExcl,IncDocDate,"&lt;="&amp;$G$3,IncDocDate,"&gt;"&amp;$C$3,IncAccount,$A14)+SUMIFS(ExpExcl,ExpDocDate,"&lt;="&amp;$G$3,ExpDocDate,"&gt;"&amp;$C$3,ExpAccount,$A14)+IF($A14="BS-1700",-SUMIFS(IncTax1,IncDocDate,"&lt;="&amp;$G$3,IncDocDate,"&gt;"&amp;$C$3)+SUMIFS(ExpTax1,ExpDocDate,"&lt;="&amp;$G$3,ExpDocDate,"&gt;"&amp;$C$3),0)+IF($A14="BS-1710",-IF(IncTaxCount=2,SUMIFS(IncTax2,IncDocDate,"&lt;="&amp;$G$3,IncDocDate,"&gt;"&amp;$C$3),0)+IF(ExpTaxCount=2,SUMIFS(ExpTax2,ExpDocDate,"&lt;="&amp;$G$3,ExpDocDate,"&gt;"&amp;$C$3),0),0))</f>
        <v>0</v>
      </c>
      <c r="H14" s="35" t="str">
        <f t="shared" ca="1" si="0"/>
        <v>Group</v>
      </c>
      <c r="K14" s="12"/>
    </row>
    <row r="15" spans="1:11" ht="15.95" customHeight="1" x14ac:dyDescent="0.25">
      <c r="A15" s="46" t="s">
        <v>146</v>
      </c>
      <c r="B15" s="47" t="s">
        <v>97</v>
      </c>
      <c r="C15" s="48">
        <v>0</v>
      </c>
      <c r="E15" s="34" cm="1">
        <f t="array" aca="1" ref="E15" ca="1">IF(LEFT($A15,2)="IS",-SUMIFS(IncExcl,IncDocDate,"&lt;="&amp;$E$3,IncDocDate,"&gt;"&amp;$E$2,IncAccount,$A15)+SUMIFS(ExpExcl,ExpDocDate,"&lt;="&amp;$E$3,ExpDocDate,"&gt;"&amp;$E$2,ExpAccount,$A15),$C15-SUMIFS(IncExcl,IncDocDate,"&lt;="&amp;$E$3,IncDocDate,"&gt;"&amp;$C$3,IncAccount,$A15)+SUMIFS(ExpExcl,ExpDocDate,"&lt;="&amp;$E$3,ExpDocDate,"&gt;"&amp;$C$3,ExpAccount,$A15)+IF($A15="BS-1700",-SUMIFS(IncTax1,IncDocDate,"&lt;="&amp;$E$3,IncDocDate,"&gt;"&amp;$C$3)+SUMIFS(ExpTax1,ExpDocDate,"&lt;="&amp;$E$3,ExpDocDate,"&gt;"&amp;$C$3),0)+IF($A15="BS-1710",-IF(IncTaxCount=2,SUMIFS(IncTax2,IncDocDate,"&lt;="&amp;$E$3,IncDocDate,"&gt;"&amp;$C$3),0)+IF(ExpTaxCount=2,SUMIFS(ExpTax2,ExpDocDate,"&lt;="&amp;$E$3,ExpDocDate,"&gt;"&amp;$C$3),0),0))</f>
        <v>0</v>
      </c>
      <c r="F15" s="34">
        <f t="shared" ca="1" si="1"/>
        <v>0</v>
      </c>
      <c r="G15" s="34" cm="1">
        <f t="array" aca="1" ref="G15" ca="1">IF(LEFT($A15,2)="IS",-SUMIFS(IncExcl,IncDocDate,"&lt;="&amp;$G$3,IncDocDate,"&gt;"&amp;$G$2,IncAccount,$A15)+SUMIFS(ExpExcl,ExpDocDate,"&lt;="&amp;$G$3,ExpDocDate,"&gt;"&amp;$G$2,ExpAccount,$A15),$C15-SUMIFS(IncExcl,IncDocDate,"&lt;="&amp;$G$3,IncDocDate,"&gt;"&amp;$C$3,IncAccount,$A15)+SUMIFS(ExpExcl,ExpDocDate,"&lt;="&amp;$G$3,ExpDocDate,"&gt;"&amp;$C$3,ExpAccount,$A15)+IF($A15="BS-1700",-SUMIFS(IncTax1,IncDocDate,"&lt;="&amp;$G$3,IncDocDate,"&gt;"&amp;$C$3)+SUMIFS(ExpTax1,ExpDocDate,"&lt;="&amp;$G$3,ExpDocDate,"&gt;"&amp;$C$3),0)+IF($A15="BS-1710",-IF(IncTaxCount=2,SUMIFS(IncTax2,IncDocDate,"&lt;="&amp;$G$3,IncDocDate,"&gt;"&amp;$C$3),0)+IF(ExpTaxCount=2,SUMIFS(ExpTax2,ExpDocDate,"&lt;="&amp;$G$3,ExpDocDate,"&gt;"&amp;$C$3),0),0))</f>
        <v>0</v>
      </c>
      <c r="H15" s="35" t="str">
        <f t="shared" ca="1" si="0"/>
        <v>Group</v>
      </c>
      <c r="K15" s="12"/>
    </row>
    <row r="16" spans="1:11" ht="15.95" customHeight="1" x14ac:dyDescent="0.25">
      <c r="A16" s="46" t="s">
        <v>147</v>
      </c>
      <c r="B16" s="47" t="s">
        <v>98</v>
      </c>
      <c r="C16" s="48">
        <v>0</v>
      </c>
      <c r="E16" s="34" cm="1">
        <f t="array" aca="1" ref="E16" ca="1">IF(LEFT($A16,2)="IS",-SUMIFS(IncExcl,IncDocDate,"&lt;="&amp;$E$3,IncDocDate,"&gt;"&amp;$E$2,IncAccount,$A16)+SUMIFS(ExpExcl,ExpDocDate,"&lt;="&amp;$E$3,ExpDocDate,"&gt;"&amp;$E$2,ExpAccount,$A16),$C16-SUMIFS(IncExcl,IncDocDate,"&lt;="&amp;$E$3,IncDocDate,"&gt;"&amp;$C$3,IncAccount,$A16)+SUMIFS(ExpExcl,ExpDocDate,"&lt;="&amp;$E$3,ExpDocDate,"&gt;"&amp;$C$3,ExpAccount,$A16)+IF($A16="BS-1700",-SUMIFS(IncTax1,IncDocDate,"&lt;="&amp;$E$3,IncDocDate,"&gt;"&amp;$C$3)+SUMIFS(ExpTax1,ExpDocDate,"&lt;="&amp;$E$3,ExpDocDate,"&gt;"&amp;$C$3),0)+IF($A16="BS-1710",-IF(IncTaxCount=2,SUMIFS(IncTax2,IncDocDate,"&lt;="&amp;$E$3,IncDocDate,"&gt;"&amp;$C$3),0)+IF(ExpTaxCount=2,SUMIFS(ExpTax2,ExpDocDate,"&lt;="&amp;$E$3,ExpDocDate,"&gt;"&amp;$C$3),0),0))</f>
        <v>0</v>
      </c>
      <c r="F16" s="34">
        <f t="shared" ca="1" si="1"/>
        <v>0</v>
      </c>
      <c r="G16" s="34" cm="1">
        <f t="array" aca="1" ref="G16" ca="1">IF(LEFT($A16,2)="IS",-SUMIFS(IncExcl,IncDocDate,"&lt;="&amp;$G$3,IncDocDate,"&gt;"&amp;$G$2,IncAccount,$A16)+SUMIFS(ExpExcl,ExpDocDate,"&lt;="&amp;$G$3,ExpDocDate,"&gt;"&amp;$G$2,ExpAccount,$A16),$C16-SUMIFS(IncExcl,IncDocDate,"&lt;="&amp;$G$3,IncDocDate,"&gt;"&amp;$C$3,IncAccount,$A16)+SUMIFS(ExpExcl,ExpDocDate,"&lt;="&amp;$G$3,ExpDocDate,"&gt;"&amp;$C$3,ExpAccount,$A16)+IF($A16="BS-1700",-SUMIFS(IncTax1,IncDocDate,"&lt;="&amp;$G$3,IncDocDate,"&gt;"&amp;$C$3)+SUMIFS(ExpTax1,ExpDocDate,"&lt;="&amp;$G$3,ExpDocDate,"&gt;"&amp;$C$3),0)+IF($A16="BS-1710",-IF(IncTaxCount=2,SUMIFS(IncTax2,IncDocDate,"&lt;="&amp;$G$3,IncDocDate,"&gt;"&amp;$C$3),0)+IF(ExpTaxCount=2,SUMIFS(ExpTax2,ExpDocDate,"&lt;="&amp;$G$3,ExpDocDate,"&gt;"&amp;$C$3),0),0))</f>
        <v>0</v>
      </c>
      <c r="H16" s="35" t="str">
        <f t="shared" ca="1" si="0"/>
        <v>Group</v>
      </c>
      <c r="K16" s="12"/>
    </row>
    <row r="17" spans="1:11" ht="15.95" customHeight="1" x14ac:dyDescent="0.25">
      <c r="A17" s="46" t="s">
        <v>150</v>
      </c>
      <c r="B17" s="47" t="s">
        <v>99</v>
      </c>
      <c r="C17" s="48">
        <v>0</v>
      </c>
      <c r="E17" s="34" cm="1">
        <f t="array" aca="1" ref="E17" ca="1">IF(LEFT($A17,2)="IS",-SUMIFS(IncExcl,IncDocDate,"&lt;="&amp;$E$3,IncDocDate,"&gt;"&amp;$E$2,IncAccount,$A17)+SUMIFS(ExpExcl,ExpDocDate,"&lt;="&amp;$E$3,ExpDocDate,"&gt;"&amp;$E$2,ExpAccount,$A17),$C17-SUMIFS(IncExcl,IncDocDate,"&lt;="&amp;$E$3,IncDocDate,"&gt;"&amp;$C$3,IncAccount,$A17)+SUMIFS(ExpExcl,ExpDocDate,"&lt;="&amp;$E$3,ExpDocDate,"&gt;"&amp;$C$3,ExpAccount,$A17)+IF($A17="BS-1700",-SUMIFS(IncTax1,IncDocDate,"&lt;="&amp;$E$3,IncDocDate,"&gt;"&amp;$C$3)+SUMIFS(ExpTax1,ExpDocDate,"&lt;="&amp;$E$3,ExpDocDate,"&gt;"&amp;$C$3),0)+IF($A17="BS-1710",-IF(IncTaxCount=2,SUMIFS(IncTax2,IncDocDate,"&lt;="&amp;$E$3,IncDocDate,"&gt;"&amp;$C$3),0)+IF(ExpTaxCount=2,SUMIFS(ExpTax2,ExpDocDate,"&lt;="&amp;$E$3,ExpDocDate,"&gt;"&amp;$C$3),0),0))</f>
        <v>0</v>
      </c>
      <c r="F17" s="34">
        <f t="shared" ca="1" si="1"/>
        <v>0</v>
      </c>
      <c r="G17" s="34" cm="1">
        <f t="array" aca="1" ref="G17" ca="1">IF(LEFT($A17,2)="IS",-SUMIFS(IncExcl,IncDocDate,"&lt;="&amp;$G$3,IncDocDate,"&gt;"&amp;$G$2,IncAccount,$A17)+SUMIFS(ExpExcl,ExpDocDate,"&lt;="&amp;$G$3,ExpDocDate,"&gt;"&amp;$G$2,ExpAccount,$A17),$C17-SUMIFS(IncExcl,IncDocDate,"&lt;="&amp;$G$3,IncDocDate,"&gt;"&amp;$C$3,IncAccount,$A17)+SUMIFS(ExpExcl,ExpDocDate,"&lt;="&amp;$G$3,ExpDocDate,"&gt;"&amp;$C$3,ExpAccount,$A17)+IF($A17="BS-1700",-SUMIFS(IncTax1,IncDocDate,"&lt;="&amp;$G$3,IncDocDate,"&gt;"&amp;$C$3)+SUMIFS(ExpTax1,ExpDocDate,"&lt;="&amp;$G$3,ExpDocDate,"&gt;"&amp;$C$3),0)+IF($A17="BS-1710",-IF(IncTaxCount=2,SUMIFS(IncTax2,IncDocDate,"&lt;="&amp;$G$3,IncDocDate,"&gt;"&amp;$C$3),0)+IF(ExpTaxCount=2,SUMIFS(ExpTax2,ExpDocDate,"&lt;="&amp;$G$3,ExpDocDate,"&gt;"&amp;$C$3),0),0))</f>
        <v>0</v>
      </c>
      <c r="H17" s="35" t="str">
        <f t="shared" ca="1" si="0"/>
        <v>Group</v>
      </c>
      <c r="K17" s="12"/>
    </row>
    <row r="18" spans="1:11" ht="15.95" customHeight="1" x14ac:dyDescent="0.25">
      <c r="A18" s="46" t="s">
        <v>151</v>
      </c>
      <c r="B18" s="47" t="s">
        <v>100</v>
      </c>
      <c r="C18" s="48">
        <v>0</v>
      </c>
      <c r="E18" s="34" cm="1">
        <f t="array" aca="1" ref="E18" ca="1">IF(LEFT($A18,2)="IS",-SUMIFS(IncExcl,IncDocDate,"&lt;="&amp;$E$3,IncDocDate,"&gt;"&amp;$E$2,IncAccount,$A18)+SUMIFS(ExpExcl,ExpDocDate,"&lt;="&amp;$E$3,ExpDocDate,"&gt;"&amp;$E$2,ExpAccount,$A18),$C18-SUMIFS(IncExcl,IncDocDate,"&lt;="&amp;$E$3,IncDocDate,"&gt;"&amp;$C$3,IncAccount,$A18)+SUMIFS(ExpExcl,ExpDocDate,"&lt;="&amp;$E$3,ExpDocDate,"&gt;"&amp;$C$3,ExpAccount,$A18)+IF($A18="BS-1700",-SUMIFS(IncTax1,IncDocDate,"&lt;="&amp;$E$3,IncDocDate,"&gt;"&amp;$C$3)+SUMIFS(ExpTax1,ExpDocDate,"&lt;="&amp;$E$3,ExpDocDate,"&gt;"&amp;$C$3),0)+IF($A18="BS-1710",-IF(IncTaxCount=2,SUMIFS(IncTax2,IncDocDate,"&lt;="&amp;$E$3,IncDocDate,"&gt;"&amp;$C$3),0)+IF(ExpTaxCount=2,SUMIFS(ExpTax2,ExpDocDate,"&lt;="&amp;$E$3,ExpDocDate,"&gt;"&amp;$C$3),0),0))</f>
        <v>0</v>
      </c>
      <c r="F18" s="34">
        <f t="shared" ca="1" si="1"/>
        <v>0</v>
      </c>
      <c r="G18" s="34" cm="1">
        <f t="array" aca="1" ref="G18" ca="1">IF(LEFT($A18,2)="IS",-SUMIFS(IncExcl,IncDocDate,"&lt;="&amp;$G$3,IncDocDate,"&gt;"&amp;$G$2,IncAccount,$A18)+SUMIFS(ExpExcl,ExpDocDate,"&lt;="&amp;$G$3,ExpDocDate,"&gt;"&amp;$G$2,ExpAccount,$A18),$C18-SUMIFS(IncExcl,IncDocDate,"&lt;="&amp;$G$3,IncDocDate,"&gt;"&amp;$C$3,IncAccount,$A18)+SUMIFS(ExpExcl,ExpDocDate,"&lt;="&amp;$G$3,ExpDocDate,"&gt;"&amp;$C$3,ExpAccount,$A18)+IF($A18="BS-1700",-SUMIFS(IncTax1,IncDocDate,"&lt;="&amp;$G$3,IncDocDate,"&gt;"&amp;$C$3)+SUMIFS(ExpTax1,ExpDocDate,"&lt;="&amp;$G$3,ExpDocDate,"&gt;"&amp;$C$3),0)+IF($A18="BS-1710",-IF(IncTaxCount=2,SUMIFS(IncTax2,IncDocDate,"&lt;="&amp;$G$3,IncDocDate,"&gt;"&amp;$C$3),0)+IF(ExpTaxCount=2,SUMIFS(ExpTax2,ExpDocDate,"&lt;="&amp;$G$3,ExpDocDate,"&gt;"&amp;$C$3),0),0))</f>
        <v>0</v>
      </c>
      <c r="H18" s="35" t="str">
        <f t="shared" ca="1" si="0"/>
        <v>Group</v>
      </c>
      <c r="K18" s="12"/>
    </row>
    <row r="19" spans="1:11" ht="15.95" customHeight="1" x14ac:dyDescent="0.25">
      <c r="A19" s="46" t="s">
        <v>152</v>
      </c>
      <c r="B19" s="47" t="s">
        <v>101</v>
      </c>
      <c r="C19" s="48">
        <v>0</v>
      </c>
      <c r="E19" s="34" cm="1">
        <f t="array" aca="1" ref="E19" ca="1">IF(LEFT($A19,2)="IS",-SUMIFS(IncExcl,IncDocDate,"&lt;="&amp;$E$3,IncDocDate,"&gt;"&amp;$E$2,IncAccount,$A19)+SUMIFS(ExpExcl,ExpDocDate,"&lt;="&amp;$E$3,ExpDocDate,"&gt;"&amp;$E$2,ExpAccount,$A19),$C19-SUMIFS(IncExcl,IncDocDate,"&lt;="&amp;$E$3,IncDocDate,"&gt;"&amp;$C$3,IncAccount,$A19)+SUMIFS(ExpExcl,ExpDocDate,"&lt;="&amp;$E$3,ExpDocDate,"&gt;"&amp;$C$3,ExpAccount,$A19)+IF($A19="BS-1700",-SUMIFS(IncTax1,IncDocDate,"&lt;="&amp;$E$3,IncDocDate,"&gt;"&amp;$C$3)+SUMIFS(ExpTax1,ExpDocDate,"&lt;="&amp;$E$3,ExpDocDate,"&gt;"&amp;$C$3),0)+IF($A19="BS-1710",-IF(IncTaxCount=2,SUMIFS(IncTax2,IncDocDate,"&lt;="&amp;$E$3,IncDocDate,"&gt;"&amp;$C$3),0)+IF(ExpTaxCount=2,SUMIFS(ExpTax2,ExpDocDate,"&lt;="&amp;$E$3,ExpDocDate,"&gt;"&amp;$C$3),0),0))</f>
        <v>0</v>
      </c>
      <c r="F19" s="34">
        <f t="shared" ca="1" si="1"/>
        <v>0</v>
      </c>
      <c r="G19" s="34" cm="1">
        <f t="array" aca="1" ref="G19" ca="1">IF(LEFT($A19,2)="IS",-SUMIFS(IncExcl,IncDocDate,"&lt;="&amp;$G$3,IncDocDate,"&gt;"&amp;$G$2,IncAccount,$A19)+SUMIFS(ExpExcl,ExpDocDate,"&lt;="&amp;$G$3,ExpDocDate,"&gt;"&amp;$G$2,ExpAccount,$A19),$C19-SUMIFS(IncExcl,IncDocDate,"&lt;="&amp;$G$3,IncDocDate,"&gt;"&amp;$C$3,IncAccount,$A19)+SUMIFS(ExpExcl,ExpDocDate,"&lt;="&amp;$G$3,ExpDocDate,"&gt;"&amp;$C$3,ExpAccount,$A19)+IF($A19="BS-1700",-SUMIFS(IncTax1,IncDocDate,"&lt;="&amp;$G$3,IncDocDate,"&gt;"&amp;$C$3)+SUMIFS(ExpTax1,ExpDocDate,"&lt;="&amp;$G$3,ExpDocDate,"&gt;"&amp;$C$3),0)+IF($A19="BS-1710",-IF(IncTaxCount=2,SUMIFS(IncTax2,IncDocDate,"&lt;="&amp;$G$3,IncDocDate,"&gt;"&amp;$C$3),0)+IF(ExpTaxCount=2,SUMIFS(ExpTax2,ExpDocDate,"&lt;="&amp;$G$3,ExpDocDate,"&gt;"&amp;$C$3),0),0))</f>
        <v>0</v>
      </c>
      <c r="H19" s="35" t="str">
        <f t="shared" ca="1" si="0"/>
        <v>Group</v>
      </c>
      <c r="K19" s="12"/>
    </row>
    <row r="20" spans="1:11" ht="15.95" customHeight="1" x14ac:dyDescent="0.25">
      <c r="A20" s="46" t="s">
        <v>153</v>
      </c>
      <c r="B20" s="47" t="s">
        <v>102</v>
      </c>
      <c r="C20" s="48">
        <v>0</v>
      </c>
      <c r="E20" s="34" cm="1">
        <f t="array" aca="1" ref="E20" ca="1">IF(LEFT($A20,2)="IS",-SUMIFS(IncExcl,IncDocDate,"&lt;="&amp;$E$3,IncDocDate,"&gt;"&amp;$E$2,IncAccount,$A20)+SUMIFS(ExpExcl,ExpDocDate,"&lt;="&amp;$E$3,ExpDocDate,"&gt;"&amp;$E$2,ExpAccount,$A20),$C20-SUMIFS(IncExcl,IncDocDate,"&lt;="&amp;$E$3,IncDocDate,"&gt;"&amp;$C$3,IncAccount,$A20)+SUMIFS(ExpExcl,ExpDocDate,"&lt;="&amp;$E$3,ExpDocDate,"&gt;"&amp;$C$3,ExpAccount,$A20)+IF($A20="BS-1700",-SUMIFS(IncTax1,IncDocDate,"&lt;="&amp;$E$3,IncDocDate,"&gt;"&amp;$C$3)+SUMIFS(ExpTax1,ExpDocDate,"&lt;="&amp;$E$3,ExpDocDate,"&gt;"&amp;$C$3),0)+IF($A20="BS-1710",-IF(IncTaxCount=2,SUMIFS(IncTax2,IncDocDate,"&lt;="&amp;$E$3,IncDocDate,"&gt;"&amp;$C$3),0)+IF(ExpTaxCount=2,SUMIFS(ExpTax2,ExpDocDate,"&lt;="&amp;$E$3,ExpDocDate,"&gt;"&amp;$C$3),0),0))</f>
        <v>0</v>
      </c>
      <c r="F20" s="34">
        <f t="shared" ca="1" si="1"/>
        <v>0</v>
      </c>
      <c r="G20" s="34" cm="1">
        <f t="array" aca="1" ref="G20" ca="1">IF(LEFT($A20,2)="IS",-SUMIFS(IncExcl,IncDocDate,"&lt;="&amp;$G$3,IncDocDate,"&gt;"&amp;$G$2,IncAccount,$A20)+SUMIFS(ExpExcl,ExpDocDate,"&lt;="&amp;$G$3,ExpDocDate,"&gt;"&amp;$G$2,ExpAccount,$A20),$C20-SUMIFS(IncExcl,IncDocDate,"&lt;="&amp;$G$3,IncDocDate,"&gt;"&amp;$C$3,IncAccount,$A20)+SUMIFS(ExpExcl,ExpDocDate,"&lt;="&amp;$G$3,ExpDocDate,"&gt;"&amp;$C$3,ExpAccount,$A20)+IF($A20="BS-1700",-SUMIFS(IncTax1,IncDocDate,"&lt;="&amp;$G$3,IncDocDate,"&gt;"&amp;$C$3)+SUMIFS(ExpTax1,ExpDocDate,"&lt;="&amp;$G$3,ExpDocDate,"&gt;"&amp;$C$3),0)+IF($A20="BS-1710",-IF(IncTaxCount=2,SUMIFS(IncTax2,IncDocDate,"&lt;="&amp;$G$3,IncDocDate,"&gt;"&amp;$C$3),0)+IF(ExpTaxCount=2,SUMIFS(ExpTax2,ExpDocDate,"&lt;="&amp;$G$3,ExpDocDate,"&gt;"&amp;$C$3),0),0))</f>
        <v>0</v>
      </c>
      <c r="H20" s="35" t="str">
        <f t="shared" ca="1" si="0"/>
        <v>Group</v>
      </c>
      <c r="K20" s="12"/>
    </row>
    <row r="21" spans="1:11" ht="15.95" customHeight="1" x14ac:dyDescent="0.25">
      <c r="A21" s="46" t="s">
        <v>154</v>
      </c>
      <c r="B21" s="47" t="s">
        <v>103</v>
      </c>
      <c r="C21" s="48">
        <v>0</v>
      </c>
      <c r="E21" s="34" cm="1">
        <f t="array" aca="1" ref="E21" ca="1">IF(LEFT($A21,2)="IS",-SUMIFS(IncExcl,IncDocDate,"&lt;="&amp;$E$3,IncDocDate,"&gt;"&amp;$E$2,IncAccount,$A21)+SUMIFS(ExpExcl,ExpDocDate,"&lt;="&amp;$E$3,ExpDocDate,"&gt;"&amp;$E$2,ExpAccount,$A21),$C21-SUMIFS(IncExcl,IncDocDate,"&lt;="&amp;$E$3,IncDocDate,"&gt;"&amp;$C$3,IncAccount,$A21)+SUMIFS(ExpExcl,ExpDocDate,"&lt;="&amp;$E$3,ExpDocDate,"&gt;"&amp;$C$3,ExpAccount,$A21)+IF($A21="BS-1700",-SUMIFS(IncTax1,IncDocDate,"&lt;="&amp;$E$3,IncDocDate,"&gt;"&amp;$C$3)+SUMIFS(ExpTax1,ExpDocDate,"&lt;="&amp;$E$3,ExpDocDate,"&gt;"&amp;$C$3),0)+IF($A21="BS-1710",-IF(IncTaxCount=2,SUMIFS(IncTax2,IncDocDate,"&lt;="&amp;$E$3,IncDocDate,"&gt;"&amp;$C$3),0)+IF(ExpTaxCount=2,SUMIFS(ExpTax2,ExpDocDate,"&lt;="&amp;$E$3,ExpDocDate,"&gt;"&amp;$C$3),0),0))</f>
        <v>0</v>
      </c>
      <c r="F21" s="34">
        <f t="shared" ca="1" si="1"/>
        <v>0</v>
      </c>
      <c r="G21" s="34" cm="1">
        <f t="array" aca="1" ref="G21" ca="1">IF(LEFT($A21,2)="IS",-SUMIFS(IncExcl,IncDocDate,"&lt;="&amp;$G$3,IncDocDate,"&gt;"&amp;$G$2,IncAccount,$A21)+SUMIFS(ExpExcl,ExpDocDate,"&lt;="&amp;$G$3,ExpDocDate,"&gt;"&amp;$G$2,ExpAccount,$A21),$C21-SUMIFS(IncExcl,IncDocDate,"&lt;="&amp;$G$3,IncDocDate,"&gt;"&amp;$C$3,IncAccount,$A21)+SUMIFS(ExpExcl,ExpDocDate,"&lt;="&amp;$G$3,ExpDocDate,"&gt;"&amp;$C$3,ExpAccount,$A21)+IF($A21="BS-1700",-SUMIFS(IncTax1,IncDocDate,"&lt;="&amp;$G$3,IncDocDate,"&gt;"&amp;$C$3)+SUMIFS(ExpTax1,ExpDocDate,"&lt;="&amp;$G$3,ExpDocDate,"&gt;"&amp;$C$3),0)+IF($A21="BS-1710",-IF(IncTaxCount=2,SUMIFS(IncTax2,IncDocDate,"&lt;="&amp;$G$3,IncDocDate,"&gt;"&amp;$C$3),0)+IF(ExpTaxCount=2,SUMIFS(ExpTax2,ExpDocDate,"&lt;="&amp;$G$3,ExpDocDate,"&gt;"&amp;$C$3),0),0))</f>
        <v>0</v>
      </c>
      <c r="H21" s="35" t="str">
        <f t="shared" ca="1" si="0"/>
        <v>Group</v>
      </c>
      <c r="K21" s="12"/>
    </row>
    <row r="22" spans="1:11" ht="15.95" customHeight="1" x14ac:dyDescent="0.25">
      <c r="A22" s="46" t="s">
        <v>155</v>
      </c>
      <c r="B22" s="47" t="s">
        <v>104</v>
      </c>
      <c r="C22" s="48">
        <v>0</v>
      </c>
      <c r="E22" s="34" cm="1">
        <f t="array" aca="1" ref="E22" ca="1">IF(LEFT($A22,2)="IS",-SUMIFS(IncExcl,IncDocDate,"&lt;="&amp;$E$3,IncDocDate,"&gt;"&amp;$E$2,IncAccount,$A22)+SUMIFS(ExpExcl,ExpDocDate,"&lt;="&amp;$E$3,ExpDocDate,"&gt;"&amp;$E$2,ExpAccount,$A22),$C22-SUMIFS(IncExcl,IncDocDate,"&lt;="&amp;$E$3,IncDocDate,"&gt;"&amp;$C$3,IncAccount,$A22)+SUMIFS(ExpExcl,ExpDocDate,"&lt;="&amp;$E$3,ExpDocDate,"&gt;"&amp;$C$3,ExpAccount,$A22)+IF($A22="BS-1700",-SUMIFS(IncTax1,IncDocDate,"&lt;="&amp;$E$3,IncDocDate,"&gt;"&amp;$C$3)+SUMIFS(ExpTax1,ExpDocDate,"&lt;="&amp;$E$3,ExpDocDate,"&gt;"&amp;$C$3),0)+IF($A22="BS-1710",-IF(IncTaxCount=2,SUMIFS(IncTax2,IncDocDate,"&lt;="&amp;$E$3,IncDocDate,"&gt;"&amp;$C$3),0)+IF(ExpTaxCount=2,SUMIFS(ExpTax2,ExpDocDate,"&lt;="&amp;$E$3,ExpDocDate,"&gt;"&amp;$C$3),0),0))</f>
        <v>0</v>
      </c>
      <c r="F22" s="34">
        <f t="shared" ca="1" si="1"/>
        <v>0</v>
      </c>
      <c r="G22" s="34" cm="1">
        <f t="array" aca="1" ref="G22" ca="1">IF(LEFT($A22,2)="IS",-SUMIFS(IncExcl,IncDocDate,"&lt;="&amp;$G$3,IncDocDate,"&gt;"&amp;$G$2,IncAccount,$A22)+SUMIFS(ExpExcl,ExpDocDate,"&lt;="&amp;$G$3,ExpDocDate,"&gt;"&amp;$G$2,ExpAccount,$A22),$C22-SUMIFS(IncExcl,IncDocDate,"&lt;="&amp;$G$3,IncDocDate,"&gt;"&amp;$C$3,IncAccount,$A22)+SUMIFS(ExpExcl,ExpDocDate,"&lt;="&amp;$G$3,ExpDocDate,"&gt;"&amp;$C$3,ExpAccount,$A22)+IF($A22="BS-1700",-SUMIFS(IncTax1,IncDocDate,"&lt;="&amp;$G$3,IncDocDate,"&gt;"&amp;$C$3)+SUMIFS(ExpTax1,ExpDocDate,"&lt;="&amp;$G$3,ExpDocDate,"&gt;"&amp;$C$3),0)+IF($A22="BS-1710",-IF(IncTaxCount=2,SUMIFS(IncTax2,IncDocDate,"&lt;="&amp;$G$3,IncDocDate,"&gt;"&amp;$C$3),0)+IF(ExpTaxCount=2,SUMIFS(ExpTax2,ExpDocDate,"&lt;="&amp;$G$3,ExpDocDate,"&gt;"&amp;$C$3),0),0))</f>
        <v>0</v>
      </c>
      <c r="H22" s="35" t="str">
        <f t="shared" ca="1" si="0"/>
        <v>Group</v>
      </c>
      <c r="K22" s="12"/>
    </row>
    <row r="23" spans="1:11" ht="15.95" customHeight="1" x14ac:dyDescent="0.25">
      <c r="A23" s="46" t="s">
        <v>156</v>
      </c>
      <c r="B23" s="47" t="s">
        <v>45</v>
      </c>
      <c r="C23" s="48">
        <v>0</v>
      </c>
      <c r="E23" s="34" cm="1">
        <f t="array" aca="1" ref="E23" ca="1">IF(LEFT($A23,2)="IS",-SUMIFS(IncExcl,IncDocDate,"&lt;="&amp;$E$3,IncDocDate,"&gt;"&amp;$E$2,IncAccount,$A23)+SUMIFS(ExpExcl,ExpDocDate,"&lt;="&amp;$E$3,ExpDocDate,"&gt;"&amp;$E$2,ExpAccount,$A23),$C23-SUMIFS(IncExcl,IncDocDate,"&lt;="&amp;$E$3,IncDocDate,"&gt;"&amp;$C$3,IncAccount,$A23)+SUMIFS(ExpExcl,ExpDocDate,"&lt;="&amp;$E$3,ExpDocDate,"&gt;"&amp;$C$3,ExpAccount,$A23)+IF($A23="BS-1700",-SUMIFS(IncTax1,IncDocDate,"&lt;="&amp;$E$3,IncDocDate,"&gt;"&amp;$C$3)+SUMIFS(ExpTax1,ExpDocDate,"&lt;="&amp;$E$3,ExpDocDate,"&gt;"&amp;$C$3),0)+IF($A23="BS-1710",-IF(IncTaxCount=2,SUMIFS(IncTax2,IncDocDate,"&lt;="&amp;$E$3,IncDocDate,"&gt;"&amp;$C$3),0)+IF(ExpTaxCount=2,SUMIFS(ExpTax2,ExpDocDate,"&lt;="&amp;$E$3,ExpDocDate,"&gt;"&amp;$C$3),0),0))</f>
        <v>0</v>
      </c>
      <c r="F23" s="34">
        <f t="shared" ca="1" si="1"/>
        <v>0</v>
      </c>
      <c r="G23" s="34" cm="1">
        <f t="array" aca="1" ref="G23" ca="1">IF(LEFT($A23,2)="IS",-SUMIFS(IncExcl,IncDocDate,"&lt;="&amp;$G$3,IncDocDate,"&gt;"&amp;$G$2,IncAccount,$A23)+SUMIFS(ExpExcl,ExpDocDate,"&lt;="&amp;$G$3,ExpDocDate,"&gt;"&amp;$G$2,ExpAccount,$A23),$C23-SUMIFS(IncExcl,IncDocDate,"&lt;="&amp;$G$3,IncDocDate,"&gt;"&amp;$C$3,IncAccount,$A23)+SUMIFS(ExpExcl,ExpDocDate,"&lt;="&amp;$G$3,ExpDocDate,"&gt;"&amp;$C$3,ExpAccount,$A23)+IF($A23="BS-1700",-SUMIFS(IncTax1,IncDocDate,"&lt;="&amp;$G$3,IncDocDate,"&gt;"&amp;$C$3)+SUMIFS(ExpTax1,ExpDocDate,"&lt;="&amp;$G$3,ExpDocDate,"&gt;"&amp;$C$3),0)+IF($A23="BS-1710",-IF(IncTaxCount=2,SUMIFS(IncTax2,IncDocDate,"&lt;="&amp;$G$3,IncDocDate,"&gt;"&amp;$C$3),0)+IF(ExpTaxCount=2,SUMIFS(ExpTax2,ExpDocDate,"&lt;="&amp;$G$3,ExpDocDate,"&gt;"&amp;$C$3),0),0))</f>
        <v>0</v>
      </c>
      <c r="H23" s="35" t="str">
        <f t="shared" ca="1" si="0"/>
        <v>Group</v>
      </c>
      <c r="K23" s="12"/>
    </row>
    <row r="24" spans="1:11" ht="15.95" customHeight="1" x14ac:dyDescent="0.25">
      <c r="A24" s="46" t="s">
        <v>157</v>
      </c>
      <c r="B24" s="47" t="s">
        <v>105</v>
      </c>
      <c r="C24" s="48">
        <v>0</v>
      </c>
      <c r="E24" s="34" cm="1">
        <f t="array" aca="1" ref="E24" ca="1">IF(LEFT($A24,2)="IS",-SUMIFS(IncExcl,IncDocDate,"&lt;="&amp;$E$3,IncDocDate,"&gt;"&amp;$E$2,IncAccount,$A24)+SUMIFS(ExpExcl,ExpDocDate,"&lt;="&amp;$E$3,ExpDocDate,"&gt;"&amp;$E$2,ExpAccount,$A24),$C24-SUMIFS(IncExcl,IncDocDate,"&lt;="&amp;$E$3,IncDocDate,"&gt;"&amp;$C$3,IncAccount,$A24)+SUMIFS(ExpExcl,ExpDocDate,"&lt;="&amp;$E$3,ExpDocDate,"&gt;"&amp;$C$3,ExpAccount,$A24)+IF($A24="BS-1700",-SUMIFS(IncTax1,IncDocDate,"&lt;="&amp;$E$3,IncDocDate,"&gt;"&amp;$C$3)+SUMIFS(ExpTax1,ExpDocDate,"&lt;="&amp;$E$3,ExpDocDate,"&gt;"&amp;$C$3),0)+IF($A24="BS-1710",-IF(IncTaxCount=2,SUMIFS(IncTax2,IncDocDate,"&lt;="&amp;$E$3,IncDocDate,"&gt;"&amp;$C$3),0)+IF(ExpTaxCount=2,SUMIFS(ExpTax2,ExpDocDate,"&lt;="&amp;$E$3,ExpDocDate,"&gt;"&amp;$C$3),0),0))</f>
        <v>0</v>
      </c>
      <c r="F24" s="34">
        <f t="shared" ca="1" si="1"/>
        <v>0</v>
      </c>
      <c r="G24" s="34" cm="1">
        <f t="array" aca="1" ref="G24" ca="1">IF(LEFT($A24,2)="IS",-SUMIFS(IncExcl,IncDocDate,"&lt;="&amp;$G$3,IncDocDate,"&gt;"&amp;$G$2,IncAccount,$A24)+SUMIFS(ExpExcl,ExpDocDate,"&lt;="&amp;$G$3,ExpDocDate,"&gt;"&amp;$G$2,ExpAccount,$A24),$C24-SUMIFS(IncExcl,IncDocDate,"&lt;="&amp;$G$3,IncDocDate,"&gt;"&amp;$C$3,IncAccount,$A24)+SUMIFS(ExpExcl,ExpDocDate,"&lt;="&amp;$G$3,ExpDocDate,"&gt;"&amp;$C$3,ExpAccount,$A24)+IF($A24="BS-1700",-SUMIFS(IncTax1,IncDocDate,"&lt;="&amp;$G$3,IncDocDate,"&gt;"&amp;$C$3)+SUMIFS(ExpTax1,ExpDocDate,"&lt;="&amp;$G$3,ExpDocDate,"&gt;"&amp;$C$3),0)+IF($A24="BS-1710",-IF(IncTaxCount=2,SUMIFS(IncTax2,IncDocDate,"&lt;="&amp;$G$3,IncDocDate,"&gt;"&amp;$C$3),0)+IF(ExpTaxCount=2,SUMIFS(ExpTax2,ExpDocDate,"&lt;="&amp;$G$3,ExpDocDate,"&gt;"&amp;$C$3),0),0))</f>
        <v>0</v>
      </c>
      <c r="H24" s="35" t="str">
        <f t="shared" ca="1" si="0"/>
        <v>Group</v>
      </c>
      <c r="K24" s="12"/>
    </row>
    <row r="25" spans="1:11" ht="15.95" customHeight="1" x14ac:dyDescent="0.25">
      <c r="A25" s="46" t="s">
        <v>168</v>
      </c>
      <c r="B25" s="47" t="s">
        <v>108</v>
      </c>
      <c r="C25" s="48">
        <v>0</v>
      </c>
      <c r="E25" s="34" cm="1">
        <f t="array" aca="1" ref="E25" ca="1">IF(LEFT($A25,2)="IS",-SUMIFS(IncExcl,IncDocDate,"&lt;="&amp;$E$3,IncDocDate,"&gt;"&amp;$E$2,IncAccount,$A25)+SUMIFS(ExpExcl,ExpDocDate,"&lt;="&amp;$E$3,ExpDocDate,"&gt;"&amp;$E$2,ExpAccount,$A25),$C25-SUMIFS(IncExcl,IncDocDate,"&lt;="&amp;$E$3,IncDocDate,"&gt;"&amp;$C$3,IncAccount,$A25)+SUMIFS(ExpExcl,ExpDocDate,"&lt;="&amp;$E$3,ExpDocDate,"&gt;"&amp;$C$3,ExpAccount,$A25)+IF($A25="BS-1700",-SUMIFS(IncTax1,IncDocDate,"&lt;="&amp;$E$3,IncDocDate,"&gt;"&amp;$C$3)+SUMIFS(ExpTax1,ExpDocDate,"&lt;="&amp;$E$3,ExpDocDate,"&gt;"&amp;$C$3),0)+IF($A25="BS-1710",-IF(IncTaxCount=2,SUMIFS(IncTax2,IncDocDate,"&lt;="&amp;$E$3,IncDocDate,"&gt;"&amp;$C$3),0)+IF(ExpTaxCount=2,SUMIFS(ExpTax2,ExpDocDate,"&lt;="&amp;$E$3,ExpDocDate,"&gt;"&amp;$C$3),0),0))</f>
        <v>0</v>
      </c>
      <c r="F25" s="34">
        <f t="shared" ca="1" si="1"/>
        <v>0</v>
      </c>
      <c r="G25" s="34" cm="1">
        <f t="array" aca="1" ref="G25" ca="1">IF(LEFT($A25,2)="IS",-SUMIFS(IncExcl,IncDocDate,"&lt;="&amp;$G$3,IncDocDate,"&gt;"&amp;$G$2,IncAccount,$A25)+SUMIFS(ExpExcl,ExpDocDate,"&lt;="&amp;$G$3,ExpDocDate,"&gt;"&amp;$G$2,ExpAccount,$A25),$C25-SUMIFS(IncExcl,IncDocDate,"&lt;="&amp;$G$3,IncDocDate,"&gt;"&amp;$C$3,IncAccount,$A25)+SUMIFS(ExpExcl,ExpDocDate,"&lt;="&amp;$G$3,ExpDocDate,"&gt;"&amp;$C$3,ExpAccount,$A25)+IF($A25="BS-1700",-SUMIFS(IncTax1,IncDocDate,"&lt;="&amp;$G$3,IncDocDate,"&gt;"&amp;$C$3)+SUMIFS(ExpTax1,ExpDocDate,"&lt;="&amp;$G$3,ExpDocDate,"&gt;"&amp;$C$3),0)+IF($A25="BS-1710",-IF(IncTaxCount=2,SUMIFS(IncTax2,IncDocDate,"&lt;="&amp;$G$3,IncDocDate,"&gt;"&amp;$C$3),0)+IF(ExpTaxCount=2,SUMIFS(ExpTax2,ExpDocDate,"&lt;="&amp;$G$3,ExpDocDate,"&gt;"&amp;$C$3),0),0))</f>
        <v>0</v>
      </c>
      <c r="H25" s="35" t="str">
        <f t="shared" ca="1" si="0"/>
        <v>Group</v>
      </c>
      <c r="K25" s="12"/>
    </row>
    <row r="26" spans="1:11" ht="15.95" customHeight="1" x14ac:dyDescent="0.25">
      <c r="A26" s="46" t="s">
        <v>169</v>
      </c>
      <c r="B26" s="47" t="s">
        <v>69</v>
      </c>
      <c r="C26" s="48">
        <v>0</v>
      </c>
      <c r="E26" s="34" cm="1">
        <f t="array" aca="1" ref="E26" ca="1">IF(LEFT($A26,2)="IS",-SUMIFS(IncExcl,IncDocDate,"&lt;="&amp;$E$3,IncDocDate,"&gt;"&amp;$E$2,IncAccount,$A26)+SUMIFS(ExpExcl,ExpDocDate,"&lt;="&amp;$E$3,ExpDocDate,"&gt;"&amp;$E$2,ExpAccount,$A26),$C26-SUMIFS(IncExcl,IncDocDate,"&lt;="&amp;$E$3,IncDocDate,"&gt;"&amp;$C$3,IncAccount,$A26)+SUMIFS(ExpExcl,ExpDocDate,"&lt;="&amp;$E$3,ExpDocDate,"&gt;"&amp;$C$3,ExpAccount,$A26)+IF($A26="BS-1700",-SUMIFS(IncTax1,IncDocDate,"&lt;="&amp;$E$3,IncDocDate,"&gt;"&amp;$C$3)+SUMIFS(ExpTax1,ExpDocDate,"&lt;="&amp;$E$3,ExpDocDate,"&gt;"&amp;$C$3),0)+IF($A26="BS-1710",-IF(IncTaxCount=2,SUMIFS(IncTax2,IncDocDate,"&lt;="&amp;$E$3,IncDocDate,"&gt;"&amp;$C$3),0)+IF(ExpTaxCount=2,SUMIFS(ExpTax2,ExpDocDate,"&lt;="&amp;$E$3,ExpDocDate,"&gt;"&amp;$C$3),0),0))</f>
        <v>0</v>
      </c>
      <c r="F26" s="34">
        <f t="shared" ca="1" si="1"/>
        <v>0</v>
      </c>
      <c r="G26" s="34" cm="1">
        <f t="array" aca="1" ref="G26" ca="1">IF(LEFT($A26,2)="IS",-SUMIFS(IncExcl,IncDocDate,"&lt;="&amp;$G$3,IncDocDate,"&gt;"&amp;$G$2,IncAccount,$A26)+SUMIFS(ExpExcl,ExpDocDate,"&lt;="&amp;$G$3,ExpDocDate,"&gt;"&amp;$G$2,ExpAccount,$A26),$C26-SUMIFS(IncExcl,IncDocDate,"&lt;="&amp;$G$3,IncDocDate,"&gt;"&amp;$C$3,IncAccount,$A26)+SUMIFS(ExpExcl,ExpDocDate,"&lt;="&amp;$G$3,ExpDocDate,"&gt;"&amp;$C$3,ExpAccount,$A26)+IF($A26="BS-1700",-SUMIFS(IncTax1,IncDocDate,"&lt;="&amp;$G$3,IncDocDate,"&gt;"&amp;$C$3)+SUMIFS(ExpTax1,ExpDocDate,"&lt;="&amp;$G$3,ExpDocDate,"&gt;"&amp;$C$3),0)+IF($A26="BS-1710",-IF(IncTaxCount=2,SUMIFS(IncTax2,IncDocDate,"&lt;="&amp;$G$3,IncDocDate,"&gt;"&amp;$C$3),0)+IF(ExpTaxCount=2,SUMIFS(ExpTax2,ExpDocDate,"&lt;="&amp;$G$3,ExpDocDate,"&gt;"&amp;$C$3),0),0))</f>
        <v>0</v>
      </c>
      <c r="H26" s="35" t="str">
        <f t="shared" ca="1" si="0"/>
        <v>Group</v>
      </c>
      <c r="I26" s="12"/>
      <c r="J26" s="12"/>
      <c r="K26" s="12"/>
    </row>
    <row r="27" spans="1:11" ht="15.95" customHeight="1" x14ac:dyDescent="0.25">
      <c r="A27" s="46" t="s">
        <v>163</v>
      </c>
      <c r="B27" s="47" t="s">
        <v>46</v>
      </c>
      <c r="C27" s="48">
        <v>0</v>
      </c>
      <c r="E27" s="34" cm="1">
        <f t="array" aca="1" ref="E27" ca="1">IF(LEFT($A27,2)="IS",-SUMIFS(IncExcl,IncDocDate,"&lt;="&amp;$E$3,IncDocDate,"&gt;"&amp;$E$2,IncAccount,$A27)+SUMIFS(ExpExcl,ExpDocDate,"&lt;="&amp;$E$3,ExpDocDate,"&gt;"&amp;$E$2,ExpAccount,$A27),$C27-SUMIFS(IncExcl,IncDocDate,"&lt;="&amp;$E$3,IncDocDate,"&gt;"&amp;$C$3,IncAccount,$A27)+SUMIFS(ExpExcl,ExpDocDate,"&lt;="&amp;$E$3,ExpDocDate,"&gt;"&amp;$C$3,ExpAccount,$A27)+IF($A27="BS-1700",-SUMIFS(IncTax1,IncDocDate,"&lt;="&amp;$E$3,IncDocDate,"&gt;"&amp;$C$3)+SUMIFS(ExpTax1,ExpDocDate,"&lt;="&amp;$E$3,ExpDocDate,"&gt;"&amp;$C$3),0)+IF($A27="BS-1710",-IF(IncTaxCount=2,SUMIFS(IncTax2,IncDocDate,"&lt;="&amp;$E$3,IncDocDate,"&gt;"&amp;$C$3),0)+IF(ExpTaxCount=2,SUMIFS(ExpTax2,ExpDocDate,"&lt;="&amp;$E$3,ExpDocDate,"&gt;"&amp;$C$3),0),0))</f>
        <v>0</v>
      </c>
      <c r="F27" s="34">
        <f t="shared" ca="1" si="1"/>
        <v>0</v>
      </c>
      <c r="G27" s="34" cm="1">
        <f t="array" aca="1" ref="G27" ca="1">IF(LEFT($A27,2)="IS",-SUMIFS(IncExcl,IncDocDate,"&lt;="&amp;$G$3,IncDocDate,"&gt;"&amp;$G$2,IncAccount,$A27)+SUMIFS(ExpExcl,ExpDocDate,"&lt;="&amp;$G$3,ExpDocDate,"&gt;"&amp;$G$2,ExpAccount,$A27),$C27-SUMIFS(IncExcl,IncDocDate,"&lt;="&amp;$G$3,IncDocDate,"&gt;"&amp;$C$3,IncAccount,$A27)+SUMIFS(ExpExcl,ExpDocDate,"&lt;="&amp;$G$3,ExpDocDate,"&gt;"&amp;$C$3,ExpAccount,$A27)+IF($A27="BS-1700",-SUMIFS(IncTax1,IncDocDate,"&lt;="&amp;$G$3,IncDocDate,"&gt;"&amp;$C$3)+SUMIFS(ExpTax1,ExpDocDate,"&lt;="&amp;$G$3,ExpDocDate,"&gt;"&amp;$C$3),0)+IF($A27="BS-1710",-IF(IncTaxCount=2,SUMIFS(IncTax2,IncDocDate,"&lt;="&amp;$G$3,IncDocDate,"&gt;"&amp;$C$3),0)+IF(ExpTaxCount=2,SUMIFS(ExpTax2,ExpDocDate,"&lt;="&amp;$G$3,ExpDocDate,"&gt;"&amp;$C$3),0),0))</f>
        <v>0</v>
      </c>
      <c r="H27" s="35" t="str">
        <f t="shared" ca="1" si="0"/>
        <v>Group</v>
      </c>
      <c r="K27" s="12"/>
    </row>
    <row r="28" spans="1:11" ht="15.95" customHeight="1" x14ac:dyDescent="0.25">
      <c r="A28" s="46" t="s">
        <v>164</v>
      </c>
      <c r="B28" s="47" t="s">
        <v>107</v>
      </c>
      <c r="C28" s="48">
        <v>0</v>
      </c>
      <c r="E28" s="34" cm="1">
        <f t="array" aca="1" ref="E28" ca="1">IF(LEFT($A28,2)="IS",-SUMIFS(IncExcl,IncDocDate,"&lt;="&amp;$E$3,IncDocDate,"&gt;"&amp;$E$2,IncAccount,$A28)+SUMIFS(ExpExcl,ExpDocDate,"&lt;="&amp;$E$3,ExpDocDate,"&gt;"&amp;$E$2,ExpAccount,$A28),$C28-SUMIFS(IncExcl,IncDocDate,"&lt;="&amp;$E$3,IncDocDate,"&gt;"&amp;$C$3,IncAccount,$A28)+SUMIFS(ExpExcl,ExpDocDate,"&lt;="&amp;$E$3,ExpDocDate,"&gt;"&amp;$C$3,ExpAccount,$A28)+IF($A28="BS-1700",-SUMIFS(IncTax1,IncDocDate,"&lt;="&amp;$E$3,IncDocDate,"&gt;"&amp;$C$3)+SUMIFS(ExpTax1,ExpDocDate,"&lt;="&amp;$E$3,ExpDocDate,"&gt;"&amp;$C$3),0)+IF($A28="BS-1710",-IF(IncTaxCount=2,SUMIFS(IncTax2,IncDocDate,"&lt;="&amp;$E$3,IncDocDate,"&gt;"&amp;$C$3),0)+IF(ExpTaxCount=2,SUMIFS(ExpTax2,ExpDocDate,"&lt;="&amp;$E$3,ExpDocDate,"&gt;"&amp;$C$3),0),0))</f>
        <v>0</v>
      </c>
      <c r="F28" s="34">
        <f t="shared" ca="1" si="1"/>
        <v>0</v>
      </c>
      <c r="G28" s="34" cm="1">
        <f t="array" aca="1" ref="G28" ca="1">IF(LEFT($A28,2)="IS",-SUMIFS(IncExcl,IncDocDate,"&lt;="&amp;$G$3,IncDocDate,"&gt;"&amp;$G$2,IncAccount,$A28)+SUMIFS(ExpExcl,ExpDocDate,"&lt;="&amp;$G$3,ExpDocDate,"&gt;"&amp;$G$2,ExpAccount,$A28),$C28-SUMIFS(IncExcl,IncDocDate,"&lt;="&amp;$G$3,IncDocDate,"&gt;"&amp;$C$3,IncAccount,$A28)+SUMIFS(ExpExcl,ExpDocDate,"&lt;="&amp;$G$3,ExpDocDate,"&gt;"&amp;$C$3,ExpAccount,$A28)+IF($A28="BS-1700",-SUMIFS(IncTax1,IncDocDate,"&lt;="&amp;$G$3,IncDocDate,"&gt;"&amp;$C$3)+SUMIFS(ExpTax1,ExpDocDate,"&lt;="&amp;$G$3,ExpDocDate,"&gt;"&amp;$C$3),0)+IF($A28="BS-1710",-IF(IncTaxCount=2,SUMIFS(IncTax2,IncDocDate,"&lt;="&amp;$G$3,IncDocDate,"&gt;"&amp;$C$3),0)+IF(ExpTaxCount=2,SUMIFS(ExpTax2,ExpDocDate,"&lt;="&amp;$G$3,ExpDocDate,"&gt;"&amp;$C$3),0),0))</f>
        <v>0</v>
      </c>
      <c r="H28" s="35" t="str">
        <f t="shared" ca="1" si="0"/>
        <v>Group</v>
      </c>
      <c r="K28" s="12"/>
    </row>
    <row r="29" spans="1:11" ht="15.95" customHeight="1" x14ac:dyDescent="0.25">
      <c r="A29" s="46" t="s">
        <v>171</v>
      </c>
      <c r="B29" s="47" t="s">
        <v>119</v>
      </c>
      <c r="C29" s="48">
        <v>0</v>
      </c>
      <c r="E29" s="34" cm="1">
        <f t="array" aca="1" ref="E29" ca="1">IF(LEFT($A29,2)="IS",-SUMIFS(IncExcl,IncDocDate,"&lt;="&amp;$E$3,IncDocDate,"&gt;"&amp;$E$2,IncAccount,$A29)+SUMIFS(ExpExcl,ExpDocDate,"&lt;="&amp;$E$3,ExpDocDate,"&gt;"&amp;$E$2,ExpAccount,$A29),$C29-SUMIFS(IncExcl,IncDocDate,"&lt;="&amp;$E$3,IncDocDate,"&gt;"&amp;$C$3,IncAccount,$A29)+SUMIFS(ExpExcl,ExpDocDate,"&lt;="&amp;$E$3,ExpDocDate,"&gt;"&amp;$C$3,ExpAccount,$A29)+IF($A29="BS-1700",-SUMIFS(IncTax1,IncDocDate,"&lt;="&amp;$E$3,IncDocDate,"&gt;"&amp;$C$3)+SUMIFS(ExpTax1,ExpDocDate,"&lt;="&amp;$E$3,ExpDocDate,"&gt;"&amp;$C$3),0)+IF($A29="BS-1710",-IF(IncTaxCount=2,SUMIFS(IncTax2,IncDocDate,"&lt;="&amp;$E$3,IncDocDate,"&gt;"&amp;$C$3),0)+IF(ExpTaxCount=2,SUMIFS(ExpTax2,ExpDocDate,"&lt;="&amp;$E$3,ExpDocDate,"&gt;"&amp;$C$3),0),0))</f>
        <v>0</v>
      </c>
      <c r="F29" s="34">
        <f t="shared" ca="1" si="1"/>
        <v>0</v>
      </c>
      <c r="G29" s="34" cm="1">
        <f t="array" aca="1" ref="G29" ca="1">IF(LEFT($A29,2)="IS",-SUMIFS(IncExcl,IncDocDate,"&lt;="&amp;$G$3,IncDocDate,"&gt;"&amp;$G$2,IncAccount,$A29)+SUMIFS(ExpExcl,ExpDocDate,"&lt;="&amp;$G$3,ExpDocDate,"&gt;"&amp;$G$2,ExpAccount,$A29),$C29-SUMIFS(IncExcl,IncDocDate,"&lt;="&amp;$G$3,IncDocDate,"&gt;"&amp;$C$3,IncAccount,$A29)+SUMIFS(ExpExcl,ExpDocDate,"&lt;="&amp;$G$3,ExpDocDate,"&gt;"&amp;$C$3,ExpAccount,$A29)+IF($A29="BS-1700",-SUMIFS(IncTax1,IncDocDate,"&lt;="&amp;$G$3,IncDocDate,"&gt;"&amp;$C$3)+SUMIFS(ExpTax1,ExpDocDate,"&lt;="&amp;$G$3,ExpDocDate,"&gt;"&amp;$C$3),0)+IF($A29="BS-1710",-IF(IncTaxCount=2,SUMIFS(IncTax2,IncDocDate,"&lt;="&amp;$G$3,IncDocDate,"&gt;"&amp;$C$3),0)+IF(ExpTaxCount=2,SUMIFS(ExpTax2,ExpDocDate,"&lt;="&amp;$G$3,ExpDocDate,"&gt;"&amp;$C$3),0),0))</f>
        <v>0</v>
      </c>
      <c r="H29" s="35" t="str">
        <f t="shared" ca="1" si="0"/>
        <v>Group</v>
      </c>
      <c r="K29" s="12"/>
    </row>
    <row r="30" spans="1:11" ht="15.95" customHeight="1" x14ac:dyDescent="0.25">
      <c r="A30" s="46" t="s">
        <v>172</v>
      </c>
      <c r="B30" s="47" t="s">
        <v>122</v>
      </c>
      <c r="C30" s="48">
        <v>0</v>
      </c>
      <c r="E30" s="34" cm="1">
        <f t="array" aca="1" ref="E30" ca="1">IF(LEFT($A30,2)="IS",-SUMIFS(IncExcl,IncDocDate,"&lt;="&amp;$E$3,IncDocDate,"&gt;"&amp;$E$2,IncAccount,$A30)+SUMIFS(ExpExcl,ExpDocDate,"&lt;="&amp;$E$3,ExpDocDate,"&gt;"&amp;$E$2,ExpAccount,$A30),$C30-SUMIFS(IncExcl,IncDocDate,"&lt;="&amp;$E$3,IncDocDate,"&gt;"&amp;$C$3,IncAccount,$A30)+SUMIFS(ExpExcl,ExpDocDate,"&lt;="&amp;$E$3,ExpDocDate,"&gt;"&amp;$C$3,ExpAccount,$A30)+IF($A30="BS-1700",-SUMIFS(IncTax1,IncDocDate,"&lt;="&amp;$E$3,IncDocDate,"&gt;"&amp;$C$3)+SUMIFS(ExpTax1,ExpDocDate,"&lt;="&amp;$E$3,ExpDocDate,"&gt;"&amp;$C$3),0)+IF($A30="BS-1710",-IF(IncTaxCount=2,SUMIFS(IncTax2,IncDocDate,"&lt;="&amp;$E$3,IncDocDate,"&gt;"&amp;$C$3),0)+IF(ExpTaxCount=2,SUMIFS(ExpTax2,ExpDocDate,"&lt;="&amp;$E$3,ExpDocDate,"&gt;"&amp;$C$3),0),0))</f>
        <v>0</v>
      </c>
      <c r="F30" s="34">
        <f t="shared" ca="1" si="1"/>
        <v>0</v>
      </c>
      <c r="G30" s="34" cm="1">
        <f t="array" aca="1" ref="G30" ca="1">IF(LEFT($A30,2)="IS",-SUMIFS(IncExcl,IncDocDate,"&lt;="&amp;$G$3,IncDocDate,"&gt;"&amp;$G$2,IncAccount,$A30)+SUMIFS(ExpExcl,ExpDocDate,"&lt;="&amp;$G$3,ExpDocDate,"&gt;"&amp;$G$2,ExpAccount,$A30),$C30-SUMIFS(IncExcl,IncDocDate,"&lt;="&amp;$G$3,IncDocDate,"&gt;"&amp;$C$3,IncAccount,$A30)+SUMIFS(ExpExcl,ExpDocDate,"&lt;="&amp;$G$3,ExpDocDate,"&gt;"&amp;$C$3,ExpAccount,$A30)+IF($A30="BS-1700",-SUMIFS(IncTax1,IncDocDate,"&lt;="&amp;$G$3,IncDocDate,"&gt;"&amp;$C$3)+SUMIFS(ExpTax1,ExpDocDate,"&lt;="&amp;$G$3,ExpDocDate,"&gt;"&amp;$C$3),0)+IF($A30="BS-1710",-IF(IncTaxCount=2,SUMIFS(IncTax2,IncDocDate,"&lt;="&amp;$G$3,IncDocDate,"&gt;"&amp;$C$3),0)+IF(ExpTaxCount=2,SUMIFS(ExpTax2,ExpDocDate,"&lt;="&amp;$G$3,ExpDocDate,"&gt;"&amp;$C$3),0),0))</f>
        <v>0</v>
      </c>
      <c r="H30" s="35" t="str">
        <f t="shared" ca="1" si="0"/>
        <v>Group</v>
      </c>
      <c r="K30" s="12"/>
    </row>
    <row r="31" spans="1:11" ht="15.95" customHeight="1" x14ac:dyDescent="0.25">
      <c r="A31" s="46" t="s">
        <v>173</v>
      </c>
      <c r="B31" s="47" t="s">
        <v>123</v>
      </c>
      <c r="C31" s="48">
        <v>0</v>
      </c>
      <c r="E31" s="34" cm="1">
        <f t="array" aca="1" ref="E31" ca="1">IF(LEFT($A31,2)="IS",-SUMIFS(IncExcl,IncDocDate,"&lt;="&amp;$E$3,IncDocDate,"&gt;"&amp;$E$2,IncAccount,$A31)+SUMIFS(ExpExcl,ExpDocDate,"&lt;="&amp;$E$3,ExpDocDate,"&gt;"&amp;$E$2,ExpAccount,$A31),$C31-SUMIFS(IncExcl,IncDocDate,"&lt;="&amp;$E$3,IncDocDate,"&gt;"&amp;$C$3,IncAccount,$A31)+SUMIFS(ExpExcl,ExpDocDate,"&lt;="&amp;$E$3,ExpDocDate,"&gt;"&amp;$C$3,ExpAccount,$A31)+IF($A31="BS-1700",-SUMIFS(IncTax1,IncDocDate,"&lt;="&amp;$E$3,IncDocDate,"&gt;"&amp;$C$3)+SUMIFS(ExpTax1,ExpDocDate,"&lt;="&amp;$E$3,ExpDocDate,"&gt;"&amp;$C$3),0)+IF($A31="BS-1710",-IF(IncTaxCount=2,SUMIFS(IncTax2,IncDocDate,"&lt;="&amp;$E$3,IncDocDate,"&gt;"&amp;$C$3),0)+IF(ExpTaxCount=2,SUMIFS(ExpTax2,ExpDocDate,"&lt;="&amp;$E$3,ExpDocDate,"&gt;"&amp;$C$3),0),0))</f>
        <v>0</v>
      </c>
      <c r="F31" s="34">
        <f t="shared" ca="1" si="1"/>
        <v>0</v>
      </c>
      <c r="G31" s="34" cm="1">
        <f t="array" aca="1" ref="G31" ca="1">IF(LEFT($A31,2)="IS",-SUMIFS(IncExcl,IncDocDate,"&lt;="&amp;$G$3,IncDocDate,"&gt;"&amp;$G$2,IncAccount,$A31)+SUMIFS(ExpExcl,ExpDocDate,"&lt;="&amp;$G$3,ExpDocDate,"&gt;"&amp;$G$2,ExpAccount,$A31),$C31-SUMIFS(IncExcl,IncDocDate,"&lt;="&amp;$G$3,IncDocDate,"&gt;"&amp;$C$3,IncAccount,$A31)+SUMIFS(ExpExcl,ExpDocDate,"&lt;="&amp;$G$3,ExpDocDate,"&gt;"&amp;$C$3,ExpAccount,$A31)+IF($A31="BS-1700",-SUMIFS(IncTax1,IncDocDate,"&lt;="&amp;$G$3,IncDocDate,"&gt;"&amp;$C$3)+SUMIFS(ExpTax1,ExpDocDate,"&lt;="&amp;$G$3,ExpDocDate,"&gt;"&amp;$C$3),0)+IF($A31="BS-1710",-IF(IncTaxCount=2,SUMIFS(IncTax2,IncDocDate,"&lt;="&amp;$G$3,IncDocDate,"&gt;"&amp;$C$3),0)+IF(ExpTaxCount=2,SUMIFS(ExpTax2,ExpDocDate,"&lt;="&amp;$G$3,ExpDocDate,"&gt;"&amp;$C$3),0),0))</f>
        <v>0</v>
      </c>
      <c r="H31" s="35" t="str">
        <f t="shared" ca="1" si="0"/>
        <v>Group</v>
      </c>
      <c r="K31" s="12"/>
    </row>
    <row r="32" spans="1:11" ht="15.95" customHeight="1" x14ac:dyDescent="0.25">
      <c r="A32" s="46" t="s">
        <v>175</v>
      </c>
      <c r="B32" s="47" t="s">
        <v>124</v>
      </c>
      <c r="C32" s="48">
        <v>0</v>
      </c>
      <c r="E32" s="34" cm="1">
        <f t="array" aca="1" ref="E32" ca="1">IF(LEFT($A32,2)="IS",-SUMIFS(IncExcl,IncDocDate,"&lt;="&amp;$E$3,IncDocDate,"&gt;"&amp;$E$2,IncAccount,$A32)+SUMIFS(ExpExcl,ExpDocDate,"&lt;="&amp;$E$3,ExpDocDate,"&gt;"&amp;$E$2,ExpAccount,$A32),$C32-SUMIFS(IncExcl,IncDocDate,"&lt;="&amp;$E$3,IncDocDate,"&gt;"&amp;$C$3,IncAccount,$A32)+SUMIFS(ExpExcl,ExpDocDate,"&lt;="&amp;$E$3,ExpDocDate,"&gt;"&amp;$C$3,ExpAccount,$A32)+IF($A32="BS-1700",-SUMIFS(IncTax1,IncDocDate,"&lt;="&amp;$E$3,IncDocDate,"&gt;"&amp;$C$3)+SUMIFS(ExpTax1,ExpDocDate,"&lt;="&amp;$E$3,ExpDocDate,"&gt;"&amp;$C$3),0)+IF($A32="BS-1710",-IF(IncTaxCount=2,SUMIFS(IncTax2,IncDocDate,"&lt;="&amp;$E$3,IncDocDate,"&gt;"&amp;$C$3),0)+IF(ExpTaxCount=2,SUMIFS(ExpTax2,ExpDocDate,"&lt;="&amp;$E$3,ExpDocDate,"&gt;"&amp;$C$3),0),0))</f>
        <v>0</v>
      </c>
      <c r="F32" s="34">
        <f t="shared" ca="1" si="1"/>
        <v>0</v>
      </c>
      <c r="G32" s="34" cm="1">
        <f t="array" aca="1" ref="G32" ca="1">IF(LEFT($A32,2)="IS",-SUMIFS(IncExcl,IncDocDate,"&lt;="&amp;$G$3,IncDocDate,"&gt;"&amp;$G$2,IncAccount,$A32)+SUMIFS(ExpExcl,ExpDocDate,"&lt;="&amp;$G$3,ExpDocDate,"&gt;"&amp;$G$2,ExpAccount,$A32),$C32-SUMIFS(IncExcl,IncDocDate,"&lt;="&amp;$G$3,IncDocDate,"&gt;"&amp;$C$3,IncAccount,$A32)+SUMIFS(ExpExcl,ExpDocDate,"&lt;="&amp;$G$3,ExpDocDate,"&gt;"&amp;$C$3,ExpAccount,$A32)+IF($A32="BS-1700",-SUMIFS(IncTax1,IncDocDate,"&lt;="&amp;$G$3,IncDocDate,"&gt;"&amp;$C$3)+SUMIFS(ExpTax1,ExpDocDate,"&lt;="&amp;$G$3,ExpDocDate,"&gt;"&amp;$C$3),0)+IF($A32="BS-1710",-IF(IncTaxCount=2,SUMIFS(IncTax2,IncDocDate,"&lt;="&amp;$G$3,IncDocDate,"&gt;"&amp;$C$3),0)+IF(ExpTaxCount=2,SUMIFS(ExpTax2,ExpDocDate,"&lt;="&amp;$G$3,ExpDocDate,"&gt;"&amp;$C$3),0),0))</f>
        <v>0</v>
      </c>
      <c r="H32" s="35" t="str">
        <f t="shared" ca="1" si="0"/>
        <v>Group</v>
      </c>
      <c r="K32" s="12"/>
    </row>
    <row r="33" spans="1:11" ht="15.95" customHeight="1" x14ac:dyDescent="0.25">
      <c r="A33" s="46" t="s">
        <v>293</v>
      </c>
      <c r="B33" s="47" t="s">
        <v>120</v>
      </c>
      <c r="C33" s="48">
        <v>0</v>
      </c>
      <c r="E33" s="34" cm="1">
        <f t="array" aca="1" ref="E33" ca="1">IF(LEFT($A33,2)="IS",-SUMIFS(IncExcl,IncDocDate,"&lt;="&amp;$E$3,IncDocDate,"&gt;"&amp;$E$2,IncAccount,$A33)+SUMIFS(ExpExcl,ExpDocDate,"&lt;="&amp;$E$3,ExpDocDate,"&gt;"&amp;$E$2,ExpAccount,$A33),$C33-SUMIFS(IncExcl,IncDocDate,"&lt;="&amp;$E$3,IncDocDate,"&gt;"&amp;$C$3,IncAccount,$A33)+SUMIFS(ExpExcl,ExpDocDate,"&lt;="&amp;$E$3,ExpDocDate,"&gt;"&amp;$C$3,ExpAccount,$A33)+IF($A33="BS-1700",-SUMIFS(IncTax1,IncDocDate,"&lt;="&amp;$E$3,IncDocDate,"&gt;"&amp;$C$3)+SUMIFS(ExpTax1,ExpDocDate,"&lt;="&amp;$E$3,ExpDocDate,"&gt;"&amp;$C$3),0)+IF($A33="BS-1710",-IF(IncTaxCount=2,SUMIFS(IncTax2,IncDocDate,"&lt;="&amp;$E$3,IncDocDate,"&gt;"&amp;$C$3),0)+IF(ExpTaxCount=2,SUMIFS(ExpTax2,ExpDocDate,"&lt;="&amp;$E$3,ExpDocDate,"&gt;"&amp;$C$3),0),0))</f>
        <v>0</v>
      </c>
      <c r="F33" s="34">
        <f t="shared" ca="1" si="1"/>
        <v>0</v>
      </c>
      <c r="G33" s="34" cm="1">
        <f t="array" aca="1" ref="G33" ca="1">IF(LEFT($A33,2)="IS",-SUMIFS(IncExcl,IncDocDate,"&lt;="&amp;$G$3,IncDocDate,"&gt;"&amp;$G$2,IncAccount,$A33)+SUMIFS(ExpExcl,ExpDocDate,"&lt;="&amp;$G$3,ExpDocDate,"&gt;"&amp;$G$2,ExpAccount,$A33),$C33-SUMIFS(IncExcl,IncDocDate,"&lt;="&amp;$G$3,IncDocDate,"&gt;"&amp;$C$3,IncAccount,$A33)+SUMIFS(ExpExcl,ExpDocDate,"&lt;="&amp;$G$3,ExpDocDate,"&gt;"&amp;$C$3,ExpAccount,$A33)+IF($A33="BS-1700",-SUMIFS(IncTax1,IncDocDate,"&lt;="&amp;$G$3,IncDocDate,"&gt;"&amp;$C$3)+SUMIFS(ExpTax1,ExpDocDate,"&lt;="&amp;$G$3,ExpDocDate,"&gt;"&amp;$C$3),0)+IF($A33="BS-1710",-IF(IncTaxCount=2,SUMIFS(IncTax2,IncDocDate,"&lt;="&amp;$G$3,IncDocDate,"&gt;"&amp;$C$3),0)+IF(ExpTaxCount=2,SUMIFS(ExpTax2,ExpDocDate,"&lt;="&amp;$G$3,ExpDocDate,"&gt;"&amp;$C$3),0),0))</f>
        <v>0</v>
      </c>
      <c r="H33" s="35" t="str">
        <f t="shared" ca="1" si="0"/>
        <v>Group</v>
      </c>
      <c r="K33" s="12"/>
    </row>
    <row r="34" spans="1:11" ht="15.95" customHeight="1" x14ac:dyDescent="0.25">
      <c r="A34" s="46" t="s">
        <v>294</v>
      </c>
      <c r="B34" s="47" t="s">
        <v>121</v>
      </c>
      <c r="C34" s="48">
        <v>0</v>
      </c>
      <c r="E34" s="34" cm="1">
        <f t="array" aca="1" ref="E34" ca="1">IF(LEFT($A34,2)="IS",-SUMIFS(IncExcl,IncDocDate,"&lt;="&amp;$E$3,IncDocDate,"&gt;"&amp;$E$2,IncAccount,$A34)+SUMIFS(ExpExcl,ExpDocDate,"&lt;="&amp;$E$3,ExpDocDate,"&gt;"&amp;$E$2,ExpAccount,$A34),$C34-SUMIFS(IncExcl,IncDocDate,"&lt;="&amp;$E$3,IncDocDate,"&gt;"&amp;$C$3,IncAccount,$A34)+SUMIFS(ExpExcl,ExpDocDate,"&lt;="&amp;$E$3,ExpDocDate,"&gt;"&amp;$C$3,ExpAccount,$A34)+IF($A34="BS-1700",-SUMIFS(IncTax1,IncDocDate,"&lt;="&amp;$E$3,IncDocDate,"&gt;"&amp;$C$3)+SUMIFS(ExpTax1,ExpDocDate,"&lt;="&amp;$E$3,ExpDocDate,"&gt;"&amp;$C$3),0)+IF($A34="BS-1710",-IF(IncTaxCount=2,SUMIFS(IncTax2,IncDocDate,"&lt;="&amp;$E$3,IncDocDate,"&gt;"&amp;$C$3),0)+IF(ExpTaxCount=2,SUMIFS(ExpTax2,ExpDocDate,"&lt;="&amp;$E$3,ExpDocDate,"&gt;"&amp;$C$3),0),0))</f>
        <v>0</v>
      </c>
      <c r="F34" s="34">
        <f t="shared" ca="1" si="1"/>
        <v>0</v>
      </c>
      <c r="G34" s="34" cm="1">
        <f t="array" aca="1" ref="G34" ca="1">IF(LEFT($A34,2)="IS",-SUMIFS(IncExcl,IncDocDate,"&lt;="&amp;$G$3,IncDocDate,"&gt;"&amp;$G$2,IncAccount,$A34)+SUMIFS(ExpExcl,ExpDocDate,"&lt;="&amp;$G$3,ExpDocDate,"&gt;"&amp;$G$2,ExpAccount,$A34),$C34-SUMIFS(IncExcl,IncDocDate,"&lt;="&amp;$G$3,IncDocDate,"&gt;"&amp;$C$3,IncAccount,$A34)+SUMIFS(ExpExcl,ExpDocDate,"&lt;="&amp;$G$3,ExpDocDate,"&gt;"&amp;$C$3,ExpAccount,$A34)+IF($A34="BS-1700",-SUMIFS(IncTax1,IncDocDate,"&lt;="&amp;$G$3,IncDocDate,"&gt;"&amp;$C$3)+SUMIFS(ExpTax1,ExpDocDate,"&lt;="&amp;$G$3,ExpDocDate,"&gt;"&amp;$C$3),0)+IF($A34="BS-1710",-IF(IncTaxCount=2,SUMIFS(IncTax2,IncDocDate,"&lt;="&amp;$G$3,IncDocDate,"&gt;"&amp;$C$3),0)+IF(ExpTaxCount=2,SUMIFS(ExpTax2,ExpDocDate,"&lt;="&amp;$G$3,ExpDocDate,"&gt;"&amp;$C$3),0),0))</f>
        <v>0</v>
      </c>
      <c r="H34" s="35" t="str">
        <f t="shared" ca="1" si="0"/>
        <v>Group</v>
      </c>
      <c r="K34" s="12"/>
    </row>
    <row r="35" spans="1:11" ht="15.95" customHeight="1" x14ac:dyDescent="0.25">
      <c r="A35" s="46" t="s">
        <v>178</v>
      </c>
      <c r="B35" s="47" t="s">
        <v>694</v>
      </c>
      <c r="C35" s="48">
        <v>0</v>
      </c>
      <c r="E35" s="34" cm="1">
        <f t="array" aca="1" ref="E35" ca="1">IF(LEFT($A35,2)="IS",-SUMIFS(IncExcl,IncDocDate,"&lt;="&amp;$E$3,IncDocDate,"&gt;"&amp;$E$2,IncAccount,$A35)+SUMIFS(ExpExcl,ExpDocDate,"&lt;="&amp;$E$3,ExpDocDate,"&gt;"&amp;$E$2,ExpAccount,$A35),$C35-SUMIFS(IncExcl,IncDocDate,"&lt;="&amp;$E$3,IncDocDate,"&gt;"&amp;$C$3,IncAccount,$A35)+SUMIFS(ExpExcl,ExpDocDate,"&lt;="&amp;$E$3,ExpDocDate,"&gt;"&amp;$C$3,ExpAccount,$A35)+IF($A35="BS-1700",-SUMIFS(IncTax1,IncDocDate,"&lt;="&amp;$E$3,IncDocDate,"&gt;"&amp;$C$3)+SUMIFS(ExpTax1,ExpDocDate,"&lt;="&amp;$E$3,ExpDocDate,"&gt;"&amp;$C$3),0)+IF($A35="BS-1710",-IF(IncTaxCount=2,SUMIFS(IncTax2,IncDocDate,"&lt;="&amp;$E$3,IncDocDate,"&gt;"&amp;$C$3),0)+IF(ExpTaxCount=2,SUMIFS(ExpTax2,ExpDocDate,"&lt;="&amp;$E$3,ExpDocDate,"&gt;"&amp;$C$3),0),0))</f>
        <v>0</v>
      </c>
      <c r="F35" s="34">
        <f t="shared" ca="1" si="1"/>
        <v>-16941103.108828969</v>
      </c>
      <c r="G35" s="34" cm="1">
        <f t="array" aca="1" ref="G35" ca="1">IF(LEFT($A35,2)="IS",-SUMIFS(IncExcl,IncDocDate,"&lt;="&amp;$G$3,IncDocDate,"&gt;"&amp;$G$2,IncAccount,$A35)+SUMIFS(ExpExcl,ExpDocDate,"&lt;="&amp;$G$3,ExpDocDate,"&gt;"&amp;$G$2,ExpAccount,$A35),$C35-SUMIFS(IncExcl,IncDocDate,"&lt;="&amp;$G$3,IncDocDate,"&gt;"&amp;$C$3,IncAccount,$A35)+SUMIFS(ExpExcl,ExpDocDate,"&lt;="&amp;$G$3,ExpDocDate,"&gt;"&amp;$C$3,ExpAccount,$A35)+IF($A35="BS-1700",-SUMIFS(IncTax1,IncDocDate,"&lt;="&amp;$G$3,IncDocDate,"&gt;"&amp;$C$3)+SUMIFS(ExpTax1,ExpDocDate,"&lt;="&amp;$G$3,ExpDocDate,"&gt;"&amp;$C$3),0)+IF($A35="BS-1710",-IF(IncTaxCount=2,SUMIFS(IncTax2,IncDocDate,"&lt;="&amp;$G$3,IncDocDate,"&gt;"&amp;$C$3),0)+IF(ExpTaxCount=2,SUMIFS(ExpTax2,ExpDocDate,"&lt;="&amp;$G$3,ExpDocDate,"&gt;"&amp;$C$3),0),0))</f>
        <v>-16941103.108828969</v>
      </c>
      <c r="H35" s="35" t="str">
        <f t="shared" ca="1" si="0"/>
        <v>Account</v>
      </c>
    </row>
    <row r="36" spans="1:11" ht="15.95" customHeight="1" x14ac:dyDescent="0.25">
      <c r="A36" s="46" t="s">
        <v>602</v>
      </c>
      <c r="B36" s="47" t="s">
        <v>695</v>
      </c>
      <c r="C36" s="48">
        <v>0</v>
      </c>
      <c r="E36" s="34" cm="1">
        <f t="array" aca="1" ref="E36" ca="1">IF(LEFT($A36,2)="IS",-SUMIFS(IncExcl,IncDocDate,"&lt;="&amp;$E$3,IncDocDate,"&gt;"&amp;$E$2,IncAccount,$A36)+SUMIFS(ExpExcl,ExpDocDate,"&lt;="&amp;$E$3,ExpDocDate,"&gt;"&amp;$E$2,ExpAccount,$A36),$C36-SUMIFS(IncExcl,IncDocDate,"&lt;="&amp;$E$3,IncDocDate,"&gt;"&amp;$C$3,IncAccount,$A36)+SUMIFS(ExpExcl,ExpDocDate,"&lt;="&amp;$E$3,ExpDocDate,"&gt;"&amp;$C$3,ExpAccount,$A36)+IF($A36="BS-1700",-SUMIFS(IncTax1,IncDocDate,"&lt;="&amp;$E$3,IncDocDate,"&gt;"&amp;$C$3)+SUMIFS(ExpTax1,ExpDocDate,"&lt;="&amp;$E$3,ExpDocDate,"&gt;"&amp;$C$3),0)+IF($A36="BS-1710",-IF(IncTaxCount=2,SUMIFS(IncTax2,IncDocDate,"&lt;="&amp;$E$3,IncDocDate,"&gt;"&amp;$C$3),0)+IF(ExpTaxCount=2,SUMIFS(ExpTax2,ExpDocDate,"&lt;="&amp;$E$3,ExpDocDate,"&gt;"&amp;$C$3),0),0))</f>
        <v>0</v>
      </c>
      <c r="F36" s="34">
        <f t="shared" ref="F36" ca="1" si="2">G36-E36</f>
        <v>-137146.13272727275</v>
      </c>
      <c r="G36" s="34" cm="1">
        <f t="array" aca="1" ref="G36" ca="1">IF(LEFT($A36,2)="IS",-SUMIFS(IncExcl,IncDocDate,"&lt;="&amp;$G$3,IncDocDate,"&gt;"&amp;$G$2,IncAccount,$A36)+SUMIFS(ExpExcl,ExpDocDate,"&lt;="&amp;$G$3,ExpDocDate,"&gt;"&amp;$G$2,ExpAccount,$A36),$C36-SUMIFS(IncExcl,IncDocDate,"&lt;="&amp;$G$3,IncDocDate,"&gt;"&amp;$C$3,IncAccount,$A36)+SUMIFS(ExpExcl,ExpDocDate,"&lt;="&amp;$G$3,ExpDocDate,"&gt;"&amp;$C$3,ExpAccount,$A36)+IF($A36="BS-1700",-SUMIFS(IncTax1,IncDocDate,"&lt;="&amp;$G$3,IncDocDate,"&gt;"&amp;$C$3)+SUMIFS(ExpTax1,ExpDocDate,"&lt;="&amp;$G$3,ExpDocDate,"&gt;"&amp;$C$3),0)+IF($A36="BS-1710",-IF(IncTaxCount=2,SUMIFS(IncTax2,IncDocDate,"&lt;="&amp;$G$3,IncDocDate,"&gt;"&amp;$C$3),0)+IF(ExpTaxCount=2,SUMIFS(ExpTax2,ExpDocDate,"&lt;="&amp;$G$3,ExpDocDate,"&gt;"&amp;$C$3),0),0))</f>
        <v>-137146.13272727275</v>
      </c>
      <c r="H36" s="35" t="str">
        <f t="shared" ca="1" si="0"/>
        <v>Account</v>
      </c>
    </row>
    <row r="37" spans="1:11" ht="15.95" customHeight="1" x14ac:dyDescent="0.25">
      <c r="A37" s="46" t="s">
        <v>295</v>
      </c>
      <c r="B37" s="47" t="s">
        <v>117</v>
      </c>
      <c r="C37" s="48">
        <v>0</v>
      </c>
      <c r="E37" s="34" cm="1">
        <f t="array" aca="1" ref="E37" ca="1">IF(LEFT($A37,2)="IS",-SUMIFS(IncExcl,IncDocDate,"&lt;="&amp;$E$3,IncDocDate,"&gt;"&amp;$E$2,IncAccount,$A37)+SUMIFS(ExpExcl,ExpDocDate,"&lt;="&amp;$E$3,ExpDocDate,"&gt;"&amp;$E$2,ExpAccount,$A37),$C37-SUMIFS(IncExcl,IncDocDate,"&lt;="&amp;$E$3,IncDocDate,"&gt;"&amp;$C$3,IncAccount,$A37)+SUMIFS(ExpExcl,ExpDocDate,"&lt;="&amp;$E$3,ExpDocDate,"&gt;"&amp;$C$3,ExpAccount,$A37)+IF($A37="BS-1700",-SUMIFS(IncTax1,IncDocDate,"&lt;="&amp;$E$3,IncDocDate,"&gt;"&amp;$C$3)+SUMIFS(ExpTax1,ExpDocDate,"&lt;="&amp;$E$3,ExpDocDate,"&gt;"&amp;$C$3),0)+IF($A37="BS-1710",-IF(IncTaxCount=2,SUMIFS(IncTax2,IncDocDate,"&lt;="&amp;$E$3,IncDocDate,"&gt;"&amp;$C$3),0)+IF(ExpTaxCount=2,SUMIFS(ExpTax2,ExpDocDate,"&lt;="&amp;$E$3,ExpDocDate,"&gt;"&amp;$C$3),0),0))</f>
        <v>0</v>
      </c>
      <c r="F37" s="34">
        <f t="shared" ca="1" si="1"/>
        <v>0</v>
      </c>
      <c r="G37" s="34" cm="1">
        <f t="array" aca="1" ref="G37" ca="1">IF(LEFT($A37,2)="IS",-SUMIFS(IncExcl,IncDocDate,"&lt;="&amp;$G$3,IncDocDate,"&gt;"&amp;$G$2,IncAccount,$A37)+SUMIFS(ExpExcl,ExpDocDate,"&lt;="&amp;$G$3,ExpDocDate,"&gt;"&amp;$G$2,ExpAccount,$A37),$C37-SUMIFS(IncExcl,IncDocDate,"&lt;="&amp;$G$3,IncDocDate,"&gt;"&amp;$C$3,IncAccount,$A37)+SUMIFS(ExpExcl,ExpDocDate,"&lt;="&amp;$G$3,ExpDocDate,"&gt;"&amp;$C$3,ExpAccount,$A37)+IF($A37="BS-1700",-SUMIFS(IncTax1,IncDocDate,"&lt;="&amp;$G$3,IncDocDate,"&gt;"&amp;$C$3)+SUMIFS(ExpTax1,ExpDocDate,"&lt;="&amp;$G$3,ExpDocDate,"&gt;"&amp;$C$3),0)+IF($A37="BS-1710",-IF(IncTaxCount=2,SUMIFS(IncTax2,IncDocDate,"&lt;="&amp;$G$3,IncDocDate,"&gt;"&amp;$C$3),0)+IF(ExpTaxCount=2,SUMIFS(ExpTax2,ExpDocDate,"&lt;="&amp;$G$3,ExpDocDate,"&gt;"&amp;$C$3),0),0))</f>
        <v>0</v>
      </c>
      <c r="H37" s="35" t="str">
        <f t="shared" ca="1" si="0"/>
        <v>Group</v>
      </c>
    </row>
    <row r="38" spans="1:11" ht="15.95" customHeight="1" x14ac:dyDescent="0.25">
      <c r="A38" s="46" t="s">
        <v>214</v>
      </c>
      <c r="B38" s="47" t="s">
        <v>47</v>
      </c>
      <c r="C38" s="48">
        <v>0</v>
      </c>
      <c r="E38" s="34" cm="1">
        <f t="array" aca="1" ref="E38" ca="1">IF(LEFT($A38,2)="IS",-SUMIFS(IncExcl,IncDocDate,"&lt;="&amp;$E$3,IncDocDate,"&gt;"&amp;$E$2,IncAccount,$A38)+SUMIFS(ExpExcl,ExpDocDate,"&lt;="&amp;$E$3,ExpDocDate,"&gt;"&amp;$E$2,ExpAccount,$A38),$C38-SUMIFS(IncExcl,IncDocDate,"&lt;="&amp;$E$3,IncDocDate,"&gt;"&amp;$C$3,IncAccount,$A38)+SUMIFS(ExpExcl,ExpDocDate,"&lt;="&amp;$E$3,ExpDocDate,"&gt;"&amp;$C$3,ExpAccount,$A38)+IF($A38="BS-1700",-SUMIFS(IncTax1,IncDocDate,"&lt;="&amp;$E$3,IncDocDate,"&gt;"&amp;$C$3)+SUMIFS(ExpTax1,ExpDocDate,"&lt;="&amp;$E$3,ExpDocDate,"&gt;"&amp;$C$3),0)+IF($A38="BS-1710",-IF(IncTaxCount=2,SUMIFS(IncTax2,IncDocDate,"&lt;="&amp;$E$3,IncDocDate,"&gt;"&amp;$C$3),0)+IF(ExpTaxCount=2,SUMIFS(ExpTax2,ExpDocDate,"&lt;="&amp;$E$3,ExpDocDate,"&gt;"&amp;$C$3),0),0))</f>
        <v>0</v>
      </c>
      <c r="F38" s="34">
        <f t="shared" ca="1" si="1"/>
        <v>0</v>
      </c>
      <c r="G38" s="34" cm="1">
        <f t="array" aca="1" ref="G38" ca="1">IF(LEFT($A38,2)="IS",-SUMIFS(IncExcl,IncDocDate,"&lt;="&amp;$G$3,IncDocDate,"&gt;"&amp;$G$2,IncAccount,$A38)+SUMIFS(ExpExcl,ExpDocDate,"&lt;="&amp;$G$3,ExpDocDate,"&gt;"&amp;$G$2,ExpAccount,$A38),$C38-SUMIFS(IncExcl,IncDocDate,"&lt;="&amp;$G$3,IncDocDate,"&gt;"&amp;$C$3,IncAccount,$A38)+SUMIFS(ExpExcl,ExpDocDate,"&lt;="&amp;$G$3,ExpDocDate,"&gt;"&amp;$C$3,ExpAccount,$A38)+IF($A38="BS-1700",-SUMIFS(IncTax1,IncDocDate,"&lt;="&amp;$G$3,IncDocDate,"&gt;"&amp;$C$3)+SUMIFS(ExpTax1,ExpDocDate,"&lt;="&amp;$G$3,ExpDocDate,"&gt;"&amp;$C$3),0)+IF($A38="BS-1710",-IF(IncTaxCount=2,SUMIFS(IncTax2,IncDocDate,"&lt;="&amp;$G$3,IncDocDate,"&gt;"&amp;$C$3),0)+IF(ExpTaxCount=2,SUMIFS(ExpTax2,ExpDocDate,"&lt;="&amp;$G$3,ExpDocDate,"&gt;"&amp;$C$3),0),0))</f>
        <v>0</v>
      </c>
      <c r="H38" s="35" t="str">
        <f t="shared" ref="H38:H73" ca="1" si="3">IF(LEFT($A38,2)="BS",IF(ISNA(MATCH(LEFT($A38,5)&amp;"G",KeyBS,0)),IF(ISNA(MATCH($A38,KeyBS,0)),"Error!","Account"),IF(ISNA(MATCH($A38,KeyBS,0)),"Group","Double!")),IF(ISNA(MATCH(LEFT($A38,5)&amp;"G",KeyIS,0)),IF(ISNA(MATCH($A38,KeyIS,0)),"Error!","Account"),IF(ISNA(MATCH($A38,KeyIS,0)),"Group","Double!")))</f>
        <v>Group</v>
      </c>
    </row>
    <row r="39" spans="1:11" ht="15.95" customHeight="1" x14ac:dyDescent="0.25">
      <c r="A39" s="46" t="s">
        <v>291</v>
      </c>
      <c r="B39" s="47" t="s">
        <v>115</v>
      </c>
      <c r="C39" s="48">
        <v>0</v>
      </c>
      <c r="E39" s="34" cm="1">
        <f t="array" aca="1" ref="E39" ca="1">IF(LEFT($A39,2)="IS",-SUMIFS(IncExcl,IncDocDate,"&lt;="&amp;$E$3,IncDocDate,"&gt;"&amp;$E$2,IncAccount,$A39)+SUMIFS(ExpExcl,ExpDocDate,"&lt;="&amp;$E$3,ExpDocDate,"&gt;"&amp;$E$2,ExpAccount,$A39),$C39-SUMIFS(IncExcl,IncDocDate,"&lt;="&amp;$E$3,IncDocDate,"&gt;"&amp;$C$3,IncAccount,$A39)+SUMIFS(ExpExcl,ExpDocDate,"&lt;="&amp;$E$3,ExpDocDate,"&gt;"&amp;$C$3,ExpAccount,$A39)+IF($A39="BS-1700",-SUMIFS(IncTax1,IncDocDate,"&lt;="&amp;$E$3,IncDocDate,"&gt;"&amp;$C$3)+SUMIFS(ExpTax1,ExpDocDate,"&lt;="&amp;$E$3,ExpDocDate,"&gt;"&amp;$C$3),0)+IF($A39="BS-1710",-IF(IncTaxCount=2,SUMIFS(IncTax2,IncDocDate,"&lt;="&amp;$E$3,IncDocDate,"&gt;"&amp;$C$3),0)+IF(ExpTaxCount=2,SUMIFS(ExpTax2,ExpDocDate,"&lt;="&amp;$E$3,ExpDocDate,"&gt;"&amp;$C$3),0),0))</f>
        <v>0</v>
      </c>
      <c r="F39" s="34">
        <f t="shared" ca="1" si="1"/>
        <v>0</v>
      </c>
      <c r="G39" s="34" cm="1">
        <f t="array" aca="1" ref="G39" ca="1">IF(LEFT($A39,2)="IS",-SUMIFS(IncExcl,IncDocDate,"&lt;="&amp;$G$3,IncDocDate,"&gt;"&amp;$G$2,IncAccount,$A39)+SUMIFS(ExpExcl,ExpDocDate,"&lt;="&amp;$G$3,ExpDocDate,"&gt;"&amp;$G$2,ExpAccount,$A39),$C39-SUMIFS(IncExcl,IncDocDate,"&lt;="&amp;$G$3,IncDocDate,"&gt;"&amp;$C$3,IncAccount,$A39)+SUMIFS(ExpExcl,ExpDocDate,"&lt;="&amp;$G$3,ExpDocDate,"&gt;"&amp;$C$3,ExpAccount,$A39)+IF($A39="BS-1700",-SUMIFS(IncTax1,IncDocDate,"&lt;="&amp;$G$3,IncDocDate,"&gt;"&amp;$C$3)+SUMIFS(ExpTax1,ExpDocDate,"&lt;="&amp;$G$3,ExpDocDate,"&gt;"&amp;$C$3),0)+IF($A39="BS-1710",-IF(IncTaxCount=2,SUMIFS(IncTax2,IncDocDate,"&lt;="&amp;$G$3,IncDocDate,"&gt;"&amp;$C$3),0)+IF(ExpTaxCount=2,SUMIFS(ExpTax2,ExpDocDate,"&lt;="&amp;$G$3,ExpDocDate,"&gt;"&amp;$C$3),0),0))</f>
        <v>0</v>
      </c>
      <c r="H39" s="35" t="str">
        <f t="shared" ca="1" si="3"/>
        <v>Group</v>
      </c>
    </row>
    <row r="40" spans="1:11" ht="15.95" customHeight="1" x14ac:dyDescent="0.25">
      <c r="A40" s="12" t="s">
        <v>211</v>
      </c>
      <c r="B40" s="318" t="s">
        <v>690</v>
      </c>
      <c r="E40" s="34" cm="1">
        <f t="array" aca="1" ref="E40" ca="1">IF(LEFT($A40,2)="IS",-SUMIFS(IncExcl,IncDocDate,"&lt;="&amp;$E$3,IncDocDate,"&gt;"&amp;$E$2,IncAccount,$A40)+SUMIFS(ExpExcl,ExpDocDate,"&lt;="&amp;$E$3,ExpDocDate,"&gt;"&amp;$E$2,ExpAccount,$A40),$C40-SUMIFS(IncExcl,IncDocDate,"&lt;="&amp;$E$3,IncDocDate,"&gt;"&amp;$C$3,IncAccount,$A40)+SUMIFS(ExpExcl,ExpDocDate,"&lt;="&amp;$E$3,ExpDocDate,"&gt;"&amp;$C$3,ExpAccount,$A40)+IF($A40="BS-1700",-SUMIFS(IncTax1,IncDocDate,"&lt;="&amp;$E$3,IncDocDate,"&gt;"&amp;$C$3)+SUMIFS(ExpTax1,ExpDocDate,"&lt;="&amp;$E$3,ExpDocDate,"&gt;"&amp;$C$3),0)+IF($A40="BS-1710",-IF(IncTaxCount=2,SUMIFS(IncTax2,IncDocDate,"&lt;="&amp;$E$3,IncDocDate,"&gt;"&amp;$C$3),0)+IF(ExpTaxCount=2,SUMIFS(ExpTax2,ExpDocDate,"&lt;="&amp;$E$3,ExpDocDate,"&gt;"&amp;$C$3),0),0))</f>
        <v>0</v>
      </c>
      <c r="F40" s="34">
        <f t="shared" ca="1" si="1"/>
        <v>-72595972.203389823</v>
      </c>
      <c r="G40" s="34" cm="1">
        <f t="array" aca="1" ref="G40" ca="1">IF(LEFT($A40,2)="IS",-SUMIFS(IncExcl,IncDocDate,"&lt;="&amp;$G$3,IncDocDate,"&gt;"&amp;$G$2,IncAccount,$A40)+SUMIFS(ExpExcl,ExpDocDate,"&lt;="&amp;$G$3,ExpDocDate,"&gt;"&amp;$G$2,ExpAccount,$A40),$C40-SUMIFS(IncExcl,IncDocDate,"&lt;="&amp;$G$3,IncDocDate,"&gt;"&amp;$C$3,IncAccount,$A40)+SUMIFS(ExpExcl,ExpDocDate,"&lt;="&amp;$G$3,ExpDocDate,"&gt;"&amp;$C$3,ExpAccount,$A40)+IF($A40="BS-1700",-SUMIFS(IncTax1,IncDocDate,"&lt;="&amp;$G$3,IncDocDate,"&gt;"&amp;$C$3)+SUMIFS(ExpTax1,ExpDocDate,"&lt;="&amp;$G$3,ExpDocDate,"&gt;"&amp;$C$3),0)+IF($A40="BS-1710",-IF(IncTaxCount=2,SUMIFS(IncTax2,IncDocDate,"&lt;="&amp;$G$3,IncDocDate,"&gt;"&amp;$C$3),0)+IF(ExpTaxCount=2,SUMIFS(ExpTax2,ExpDocDate,"&lt;="&amp;$G$3,ExpDocDate,"&gt;"&amp;$C$3),0),0))</f>
        <v>-72595972.203389823</v>
      </c>
      <c r="H40" s="35" t="str">
        <f t="shared" si="3"/>
        <v>Account</v>
      </c>
    </row>
    <row r="41" spans="1:11" ht="15.95" customHeight="1" x14ac:dyDescent="0.25">
      <c r="A41" s="12" t="s">
        <v>210</v>
      </c>
      <c r="B41" s="318" t="s">
        <v>691</v>
      </c>
      <c r="E41" s="34" cm="1">
        <f t="array" aca="1" ref="E41" ca="1">IF(LEFT($A41,2)="IS",-SUMIFS(IncExcl,IncDocDate,"&lt;="&amp;$E$3,IncDocDate,"&gt;"&amp;$E$2,IncAccount,$A41)+SUMIFS(ExpExcl,ExpDocDate,"&lt;="&amp;$E$3,ExpDocDate,"&gt;"&amp;$E$2,ExpAccount,$A41),$C41-SUMIFS(IncExcl,IncDocDate,"&lt;="&amp;$E$3,IncDocDate,"&gt;"&amp;$C$3,IncAccount,$A41)+SUMIFS(ExpExcl,ExpDocDate,"&lt;="&amp;$E$3,ExpDocDate,"&gt;"&amp;$C$3,ExpAccount,$A41)+IF($A41="BS-1700",-SUMIFS(IncTax1,IncDocDate,"&lt;="&amp;$E$3,IncDocDate,"&gt;"&amp;$C$3)+SUMIFS(ExpTax1,ExpDocDate,"&lt;="&amp;$E$3,ExpDocDate,"&gt;"&amp;$C$3),0)+IF($A41="BS-1710",-IF(IncTaxCount=2,SUMIFS(IncTax2,IncDocDate,"&lt;="&amp;$E$3,IncDocDate,"&gt;"&amp;$C$3),0)+IF(ExpTaxCount=2,SUMIFS(ExpTax2,ExpDocDate,"&lt;="&amp;$E$3,ExpDocDate,"&gt;"&amp;$C$3),0),0))</f>
        <v>0</v>
      </c>
      <c r="F41" s="34">
        <f t="shared" ca="1" si="1"/>
        <v>-2093220.3389830508</v>
      </c>
      <c r="G41" s="34" cm="1">
        <f t="array" aca="1" ref="G41" ca="1">IF(LEFT($A41,2)="IS",-SUMIFS(IncExcl,IncDocDate,"&lt;="&amp;$G$3,IncDocDate,"&gt;"&amp;$G$2,IncAccount,$A41)+SUMIFS(ExpExcl,ExpDocDate,"&lt;="&amp;$G$3,ExpDocDate,"&gt;"&amp;$G$2,ExpAccount,$A41),$C41-SUMIFS(IncExcl,IncDocDate,"&lt;="&amp;$G$3,IncDocDate,"&gt;"&amp;$C$3,IncAccount,$A41)+SUMIFS(ExpExcl,ExpDocDate,"&lt;="&amp;$G$3,ExpDocDate,"&gt;"&amp;$C$3,ExpAccount,$A41)+IF($A41="BS-1700",-SUMIFS(IncTax1,IncDocDate,"&lt;="&amp;$G$3,IncDocDate,"&gt;"&amp;$C$3)+SUMIFS(ExpTax1,ExpDocDate,"&lt;="&amp;$G$3,ExpDocDate,"&gt;"&amp;$C$3),0)+IF($A41="BS-1710",-IF(IncTaxCount=2,SUMIFS(IncTax2,IncDocDate,"&lt;="&amp;$G$3,IncDocDate,"&gt;"&amp;$C$3),0)+IF(ExpTaxCount=2,SUMIFS(ExpTax2,ExpDocDate,"&lt;="&amp;$G$3,ExpDocDate,"&gt;"&amp;$C$3),0),0))</f>
        <v>-2093220.3389830508</v>
      </c>
      <c r="H41" s="35" t="str">
        <f t="shared" si="3"/>
        <v>Account</v>
      </c>
    </row>
    <row r="42" spans="1:11" ht="15.95" customHeight="1" x14ac:dyDescent="0.25">
      <c r="A42" s="12" t="s">
        <v>212</v>
      </c>
      <c r="B42" s="318" t="s">
        <v>692</v>
      </c>
      <c r="E42" s="34" cm="1">
        <f t="array" aca="1" ref="E42" ca="1">IF(LEFT($A42,2)="IS",-SUMIFS(IncExcl,IncDocDate,"&lt;="&amp;$E$3,IncDocDate,"&gt;"&amp;$E$2,IncAccount,$A42)+SUMIFS(ExpExcl,ExpDocDate,"&lt;="&amp;$E$3,ExpDocDate,"&gt;"&amp;$E$2,ExpAccount,$A42),$C42-SUMIFS(IncExcl,IncDocDate,"&lt;="&amp;$E$3,IncDocDate,"&gt;"&amp;$C$3,IncAccount,$A42)+SUMIFS(ExpExcl,ExpDocDate,"&lt;="&amp;$E$3,ExpDocDate,"&gt;"&amp;$C$3,ExpAccount,$A42)+IF($A42="BS-1700",-SUMIFS(IncTax1,IncDocDate,"&lt;="&amp;$E$3,IncDocDate,"&gt;"&amp;$C$3)+SUMIFS(ExpTax1,ExpDocDate,"&lt;="&amp;$E$3,ExpDocDate,"&gt;"&amp;$C$3),0)+IF($A42="BS-1710",-IF(IncTaxCount=2,SUMIFS(IncTax2,IncDocDate,"&lt;="&amp;$E$3,IncDocDate,"&gt;"&amp;$C$3),0)+IF(ExpTaxCount=2,SUMIFS(ExpTax2,ExpDocDate,"&lt;="&amp;$E$3,ExpDocDate,"&gt;"&amp;$C$3),0),0))</f>
        <v>0</v>
      </c>
      <c r="F42" s="34">
        <f t="shared" ca="1" si="1"/>
        <v>-9253411.0782742687</v>
      </c>
      <c r="G42" s="34" cm="1">
        <f t="array" aca="1" ref="G42" ca="1">IF(LEFT($A42,2)="IS",-SUMIFS(IncExcl,IncDocDate,"&lt;="&amp;$G$3,IncDocDate,"&gt;"&amp;$G$2,IncAccount,$A42)+SUMIFS(ExpExcl,ExpDocDate,"&lt;="&amp;$G$3,ExpDocDate,"&gt;"&amp;$G$2,ExpAccount,$A42),$C42-SUMIFS(IncExcl,IncDocDate,"&lt;="&amp;$G$3,IncDocDate,"&gt;"&amp;$C$3,IncAccount,$A42)+SUMIFS(ExpExcl,ExpDocDate,"&lt;="&amp;$G$3,ExpDocDate,"&gt;"&amp;$C$3,ExpAccount,$A42)+IF($A42="BS-1700",-SUMIFS(IncTax1,IncDocDate,"&lt;="&amp;$G$3,IncDocDate,"&gt;"&amp;$C$3)+SUMIFS(ExpTax1,ExpDocDate,"&lt;="&amp;$G$3,ExpDocDate,"&gt;"&amp;$C$3),0)+IF($A42="BS-1710",-IF(IncTaxCount=2,SUMIFS(IncTax2,IncDocDate,"&lt;="&amp;$G$3,IncDocDate,"&gt;"&amp;$C$3),0)+IF(ExpTaxCount=2,SUMIFS(ExpTax2,ExpDocDate,"&lt;="&amp;$G$3,ExpDocDate,"&gt;"&amp;$C$3),0),0))</f>
        <v>-9253411.0782742687</v>
      </c>
      <c r="H42" s="35" t="str">
        <f t="shared" si="3"/>
        <v>Account</v>
      </c>
    </row>
    <row r="43" spans="1:11" ht="15.95" customHeight="1" x14ac:dyDescent="0.25">
      <c r="A43" s="12" t="s">
        <v>740</v>
      </c>
      <c r="B43" s="318" t="s">
        <v>738</v>
      </c>
    </row>
    <row r="44" spans="1:11" ht="15.95" customHeight="1" x14ac:dyDescent="0.25">
      <c r="A44" s="12" t="s">
        <v>741</v>
      </c>
      <c r="B44" s="318" t="s">
        <v>739</v>
      </c>
    </row>
    <row r="45" spans="1:11" ht="15.95" customHeight="1" x14ac:dyDescent="0.25">
      <c r="A45" s="12" t="s">
        <v>183</v>
      </c>
      <c r="B45" s="318" t="s">
        <v>331</v>
      </c>
      <c r="E45" s="34" cm="1">
        <f t="array" aca="1" ref="E45" ca="1">IF(LEFT($A45,2)="IS",-SUMIFS(IncExcl,IncDocDate,"&lt;="&amp;$E$3,IncDocDate,"&gt;"&amp;$E$2,IncAccount,$A45)+SUMIFS(ExpExcl,ExpDocDate,"&lt;="&amp;$E$3,ExpDocDate,"&gt;"&amp;$E$2,ExpAccount,$A45),$C45-SUMIFS(IncExcl,IncDocDate,"&lt;="&amp;$E$3,IncDocDate,"&gt;"&amp;$C$3,IncAccount,$A45)+SUMIFS(ExpExcl,ExpDocDate,"&lt;="&amp;$E$3,ExpDocDate,"&gt;"&amp;$C$3,ExpAccount,$A45)+IF($A45="BS-1700",-SUMIFS(IncTax1,IncDocDate,"&lt;="&amp;$E$3,IncDocDate,"&gt;"&amp;$C$3)+SUMIFS(ExpTax1,ExpDocDate,"&lt;="&amp;$E$3,ExpDocDate,"&gt;"&amp;$C$3),0)+IF($A45="BS-1710",-IF(IncTaxCount=2,SUMIFS(IncTax2,IncDocDate,"&lt;="&amp;$E$3,IncDocDate,"&gt;"&amp;$C$3),0)+IF(ExpTaxCount=2,SUMIFS(ExpTax2,ExpDocDate,"&lt;="&amp;$E$3,ExpDocDate,"&gt;"&amp;$C$3),0),0))</f>
        <v>0</v>
      </c>
      <c r="F45" s="34">
        <f t="shared" ca="1" si="1"/>
        <v>0</v>
      </c>
      <c r="G45" s="34" cm="1">
        <f t="array" ref="G45">IF(LEFT($A45,2)="IS",-SUMIFS(IncExcl,IncDocDate,"&lt;="&amp;$G$3,IncDocDate,"&gt;"&amp;$G$2,IncAccount,$A45)+SUMIFS(ExpExcl,ExpDocDate,"&lt;="&amp;$G$3,ExpDocDate,"&gt;"&amp;$G$2,ExpAccount,$A45),$C45-SUMIFS(IncExcl,IncDocDate,"&lt;="&amp;$G$3,IncDocDate,"&gt;"&amp;$C$3,IncAccount,$A45)+SUMIFS(ExpExcl,ExpDocDate,"&lt;="&amp;$G$3,ExpDocDate,"&gt;"&amp;$C$3,ExpAccount,$A45)+IF($A45="BS-1700",-SUMIFS(IncTax1,IncDocDate,"&lt;="&amp;$G$3,IncDocDate,"&gt;"&amp;$C$3)+SUMIFS(ExpTax1,ExpDocDate,"&lt;="&amp;$G$3,ExpDocDate,"&gt;"&amp;$C$3),0)+IF($A45="BS-1710",-IF(IncTaxCount=2,SUMIFS(IncTax2,IncDocDate,"&lt;="&amp;$G$3,IncDocDate,"&gt;"&amp;$C$3),0)+IF(ExpTaxCount=2,SUMIFS(ExpTax2,ExpDocDate,"&lt;="&amp;$G$3,ExpDocDate,"&gt;"&amp;$C$3),0),0))</f>
        <v>0</v>
      </c>
      <c r="H45" s="35" t="str">
        <f t="shared" si="3"/>
        <v>Account</v>
      </c>
    </row>
    <row r="46" spans="1:11" ht="15.95" customHeight="1" x14ac:dyDescent="0.25">
      <c r="A46" s="12" t="s">
        <v>184</v>
      </c>
      <c r="B46" s="4" t="s">
        <v>53</v>
      </c>
      <c r="E46" s="34" cm="1">
        <f t="array" aca="1" ref="E46" ca="1">IF(LEFT($A46,2)="IS",-SUMIFS(IncExcl,IncDocDate,"&lt;="&amp;$E$3,IncDocDate,"&gt;"&amp;$E$2,IncAccount,$A46)+SUMIFS(ExpExcl,ExpDocDate,"&lt;="&amp;$E$3,ExpDocDate,"&gt;"&amp;$E$2,ExpAccount,$A46),$C46-SUMIFS(IncExcl,IncDocDate,"&lt;="&amp;$E$3,IncDocDate,"&gt;"&amp;$C$3,IncAccount,$A46)+SUMIFS(ExpExcl,ExpDocDate,"&lt;="&amp;$E$3,ExpDocDate,"&gt;"&amp;$C$3,ExpAccount,$A46)+IF($A46="BS-1700",-SUMIFS(IncTax1,IncDocDate,"&lt;="&amp;$E$3,IncDocDate,"&gt;"&amp;$C$3)+SUMIFS(ExpTax1,ExpDocDate,"&lt;="&amp;$E$3,ExpDocDate,"&gt;"&amp;$C$3),0)+IF($A46="BS-1710",-IF(IncTaxCount=2,SUMIFS(IncTax2,IncDocDate,"&lt;="&amp;$E$3,IncDocDate,"&gt;"&amp;$C$3),0)+IF(ExpTaxCount=2,SUMIFS(ExpTax2,ExpDocDate,"&lt;="&amp;$E$3,ExpDocDate,"&gt;"&amp;$C$3),0),0))</f>
        <v>0</v>
      </c>
      <c r="F46" s="34">
        <f t="shared" ca="1" si="1"/>
        <v>0</v>
      </c>
      <c r="G46" s="34" cm="1">
        <f t="array" ref="G46">IF(LEFT($A46,2)="IS",-SUMIFS(IncExcl,IncDocDate,"&lt;="&amp;$G$3,IncDocDate,"&gt;"&amp;$G$2,IncAccount,$A46)+SUMIFS(ExpExcl,ExpDocDate,"&lt;="&amp;$G$3,ExpDocDate,"&gt;"&amp;$G$2,ExpAccount,$A46),$C46-SUMIFS(IncExcl,IncDocDate,"&lt;="&amp;$G$3,IncDocDate,"&gt;"&amp;$C$3,IncAccount,$A46)+SUMIFS(ExpExcl,ExpDocDate,"&lt;="&amp;$G$3,ExpDocDate,"&gt;"&amp;$C$3,ExpAccount,$A46)+IF($A46="BS-1700",-SUMIFS(IncTax1,IncDocDate,"&lt;="&amp;$G$3,IncDocDate,"&gt;"&amp;$C$3)+SUMIFS(ExpTax1,ExpDocDate,"&lt;="&amp;$G$3,ExpDocDate,"&gt;"&amp;$C$3),0)+IF($A46="BS-1710",-IF(IncTaxCount=2,SUMIFS(IncTax2,IncDocDate,"&lt;="&amp;$G$3,IncDocDate,"&gt;"&amp;$C$3),0)+IF(ExpTaxCount=2,SUMIFS(ExpTax2,ExpDocDate,"&lt;="&amp;$G$3,ExpDocDate,"&gt;"&amp;$C$3),0),0))</f>
        <v>0</v>
      </c>
      <c r="H46" s="35" t="str">
        <f t="shared" si="3"/>
        <v>Account</v>
      </c>
    </row>
    <row r="47" spans="1:11" ht="15.95" customHeight="1" x14ac:dyDescent="0.25">
      <c r="A47" s="12" t="s">
        <v>185</v>
      </c>
      <c r="B47" s="4" t="s">
        <v>13</v>
      </c>
      <c r="E47" s="34" cm="1">
        <f t="array" aca="1" ref="E47" ca="1">IF(LEFT($A47,2)="IS",-SUMIFS(IncExcl,IncDocDate,"&lt;="&amp;$E$3,IncDocDate,"&gt;"&amp;$E$2,IncAccount,$A47)+SUMIFS(ExpExcl,ExpDocDate,"&lt;="&amp;$E$3,ExpDocDate,"&gt;"&amp;$E$2,ExpAccount,$A47),$C47-SUMIFS(IncExcl,IncDocDate,"&lt;="&amp;$E$3,IncDocDate,"&gt;"&amp;$C$3,IncAccount,$A47)+SUMIFS(ExpExcl,ExpDocDate,"&lt;="&amp;$E$3,ExpDocDate,"&gt;"&amp;$C$3,ExpAccount,$A47)+IF($A47="BS-1700",-SUMIFS(IncTax1,IncDocDate,"&lt;="&amp;$E$3,IncDocDate,"&gt;"&amp;$C$3)+SUMIFS(ExpTax1,ExpDocDate,"&lt;="&amp;$E$3,ExpDocDate,"&gt;"&amp;$C$3),0)+IF($A47="BS-1710",-IF(IncTaxCount=2,SUMIFS(IncTax2,IncDocDate,"&lt;="&amp;$E$3,IncDocDate,"&gt;"&amp;$C$3),0)+IF(ExpTaxCount=2,SUMIFS(ExpTax2,ExpDocDate,"&lt;="&amp;$E$3,ExpDocDate,"&gt;"&amp;$C$3),0),0))</f>
        <v>0</v>
      </c>
      <c r="F47" s="34">
        <f t="shared" ca="1" si="1"/>
        <v>19340</v>
      </c>
      <c r="G47" s="34" cm="1">
        <f t="array" aca="1" ref="G47" ca="1">IF(LEFT($A47,2)="IS",-SUMIFS(IncExcl,IncDocDate,"&lt;="&amp;$G$3,IncDocDate,"&gt;"&amp;$G$2,IncAccount,$A47)+SUMIFS(ExpExcl,ExpDocDate,"&lt;="&amp;$G$3,ExpDocDate,"&gt;"&amp;$G$2,ExpAccount,$A47),$C47-SUMIFS(IncExcl,IncDocDate,"&lt;="&amp;$G$3,IncDocDate,"&gt;"&amp;$C$3,IncAccount,$A47)+SUMIFS(ExpExcl,ExpDocDate,"&lt;="&amp;$G$3,ExpDocDate,"&gt;"&amp;$C$3,ExpAccount,$A47)+IF($A47="BS-1700",-SUMIFS(IncTax1,IncDocDate,"&lt;="&amp;$G$3,IncDocDate,"&gt;"&amp;$C$3)+SUMIFS(ExpTax1,ExpDocDate,"&lt;="&amp;$G$3,ExpDocDate,"&gt;"&amp;$C$3),0)+IF($A47="BS-1710",-IF(IncTaxCount=2,SUMIFS(IncTax2,IncDocDate,"&lt;="&amp;$G$3,IncDocDate,"&gt;"&amp;$C$3),0)+IF(ExpTaxCount=2,SUMIFS(ExpTax2,ExpDocDate,"&lt;="&amp;$G$3,ExpDocDate,"&gt;"&amp;$C$3),0),0))</f>
        <v>19340</v>
      </c>
      <c r="H47" s="35" t="str">
        <f t="shared" si="3"/>
        <v>Account</v>
      </c>
    </row>
    <row r="48" spans="1:11" ht="15.95" customHeight="1" x14ac:dyDescent="0.25">
      <c r="A48" s="12" t="s">
        <v>186</v>
      </c>
      <c r="B48" s="4" t="s">
        <v>26</v>
      </c>
      <c r="E48" s="34" cm="1">
        <f t="array" aca="1" ref="E48" ca="1">IF(LEFT($A48,2)="IS",-SUMIFS(IncExcl,IncDocDate,"&lt;="&amp;$E$3,IncDocDate,"&gt;"&amp;$E$2,IncAccount,$A48)+SUMIFS(ExpExcl,ExpDocDate,"&lt;="&amp;$E$3,ExpDocDate,"&gt;"&amp;$E$2,ExpAccount,$A48),$C48-SUMIFS(IncExcl,IncDocDate,"&lt;="&amp;$E$3,IncDocDate,"&gt;"&amp;$C$3,IncAccount,$A48)+SUMIFS(ExpExcl,ExpDocDate,"&lt;="&amp;$E$3,ExpDocDate,"&gt;"&amp;$C$3,ExpAccount,$A48)+IF($A48="BS-1700",-SUMIFS(IncTax1,IncDocDate,"&lt;="&amp;$E$3,IncDocDate,"&gt;"&amp;$C$3)+SUMIFS(ExpTax1,ExpDocDate,"&lt;="&amp;$E$3,ExpDocDate,"&gt;"&amp;$C$3),0)+IF($A48="BS-1710",-IF(IncTaxCount=2,SUMIFS(IncTax2,IncDocDate,"&lt;="&amp;$E$3,IncDocDate,"&gt;"&amp;$C$3),0)+IF(ExpTaxCount=2,SUMIFS(ExpTax2,ExpDocDate,"&lt;="&amp;$E$3,ExpDocDate,"&gt;"&amp;$C$3),0),0))</f>
        <v>0</v>
      </c>
      <c r="F48" s="34">
        <f t="shared" ca="1" si="1"/>
        <v>0</v>
      </c>
      <c r="G48" s="34" cm="1">
        <f t="array" ref="G48">IF(LEFT($A48,2)="IS",-SUMIFS(IncExcl,IncDocDate,"&lt;="&amp;$G$3,IncDocDate,"&gt;"&amp;$G$2,IncAccount,$A48)+SUMIFS(ExpExcl,ExpDocDate,"&lt;="&amp;$G$3,ExpDocDate,"&gt;"&amp;$G$2,ExpAccount,$A48),$C48-SUMIFS(IncExcl,IncDocDate,"&lt;="&amp;$G$3,IncDocDate,"&gt;"&amp;$C$3,IncAccount,$A48)+SUMIFS(ExpExcl,ExpDocDate,"&lt;="&amp;$G$3,ExpDocDate,"&gt;"&amp;$C$3,ExpAccount,$A48)+IF($A48="BS-1700",-SUMIFS(IncTax1,IncDocDate,"&lt;="&amp;$G$3,IncDocDate,"&gt;"&amp;$C$3)+SUMIFS(ExpTax1,ExpDocDate,"&lt;="&amp;$G$3,ExpDocDate,"&gt;"&amp;$C$3),0)+IF($A48="BS-1710",-IF(IncTaxCount=2,SUMIFS(IncTax2,IncDocDate,"&lt;="&amp;$G$3,IncDocDate,"&gt;"&amp;$C$3),0)+IF(ExpTaxCount=2,SUMIFS(ExpTax2,ExpDocDate,"&lt;="&amp;$G$3,ExpDocDate,"&gt;"&amp;$C$3),0),0))</f>
        <v>0</v>
      </c>
      <c r="H48" s="35" t="str">
        <f t="shared" si="3"/>
        <v>Account</v>
      </c>
    </row>
    <row r="49" spans="1:8" ht="15.95" customHeight="1" x14ac:dyDescent="0.25">
      <c r="A49" s="12" t="s">
        <v>187</v>
      </c>
      <c r="B49" s="4" t="s">
        <v>14</v>
      </c>
      <c r="E49" s="34" cm="1">
        <f t="array" aca="1" ref="E49" ca="1">IF(LEFT($A49,2)="IS",-SUMIFS(IncExcl,IncDocDate,"&lt;="&amp;$E$3,IncDocDate,"&gt;"&amp;$E$2,IncAccount,$A49)+SUMIFS(ExpExcl,ExpDocDate,"&lt;="&amp;$E$3,ExpDocDate,"&gt;"&amp;$E$2,ExpAccount,$A49),$C49-SUMIFS(IncExcl,IncDocDate,"&lt;="&amp;$E$3,IncDocDate,"&gt;"&amp;$C$3,IncAccount,$A49)+SUMIFS(ExpExcl,ExpDocDate,"&lt;="&amp;$E$3,ExpDocDate,"&gt;"&amp;$C$3,ExpAccount,$A49)+IF($A49="BS-1700",-SUMIFS(IncTax1,IncDocDate,"&lt;="&amp;$E$3,IncDocDate,"&gt;"&amp;$C$3)+SUMIFS(ExpTax1,ExpDocDate,"&lt;="&amp;$E$3,ExpDocDate,"&gt;"&amp;$C$3),0)+IF($A49="BS-1710",-IF(IncTaxCount=2,SUMIFS(IncTax2,IncDocDate,"&lt;="&amp;$E$3,IncDocDate,"&gt;"&amp;$C$3),0)+IF(ExpTaxCount=2,SUMIFS(ExpTax2,ExpDocDate,"&lt;="&amp;$E$3,ExpDocDate,"&gt;"&amp;$C$3),0),0))</f>
        <v>0</v>
      </c>
      <c r="F49" s="34">
        <f t="shared" ca="1" si="1"/>
        <v>0</v>
      </c>
      <c r="G49" s="34" cm="1">
        <f t="array" ref="G49">IF(LEFT($A49,2)="IS",-SUMIFS(IncExcl,IncDocDate,"&lt;="&amp;$G$3,IncDocDate,"&gt;"&amp;$G$2,IncAccount,$A49)+SUMIFS(ExpExcl,ExpDocDate,"&lt;="&amp;$G$3,ExpDocDate,"&gt;"&amp;$G$2,ExpAccount,$A49),$C49-SUMIFS(IncExcl,IncDocDate,"&lt;="&amp;$G$3,IncDocDate,"&gt;"&amp;$C$3,IncAccount,$A49)+SUMIFS(ExpExcl,ExpDocDate,"&lt;="&amp;$G$3,ExpDocDate,"&gt;"&amp;$C$3,ExpAccount,$A49)+IF($A49="BS-1700",-SUMIFS(IncTax1,IncDocDate,"&lt;="&amp;$G$3,IncDocDate,"&gt;"&amp;$C$3)+SUMIFS(ExpTax1,ExpDocDate,"&lt;="&amp;$G$3,ExpDocDate,"&gt;"&amp;$C$3),0)+IF($A49="BS-1710",-IF(IncTaxCount=2,SUMIFS(IncTax2,IncDocDate,"&lt;="&amp;$G$3,IncDocDate,"&gt;"&amp;$C$3),0)+IF(ExpTaxCount=2,SUMIFS(ExpTax2,ExpDocDate,"&lt;="&amp;$G$3,ExpDocDate,"&gt;"&amp;$C$3),0),0))</f>
        <v>0</v>
      </c>
      <c r="H49" s="35" t="str">
        <f t="shared" si="3"/>
        <v>Account</v>
      </c>
    </row>
    <row r="50" spans="1:8" ht="15.95" customHeight="1" x14ac:dyDescent="0.25">
      <c r="A50" s="12" t="s">
        <v>188</v>
      </c>
      <c r="B50" s="4" t="s">
        <v>28</v>
      </c>
      <c r="E50" s="34" cm="1">
        <f t="array" aca="1" ref="E50" ca="1">IF(LEFT($A50,2)="IS",-SUMIFS(IncExcl,IncDocDate,"&lt;="&amp;$E$3,IncDocDate,"&gt;"&amp;$E$2,IncAccount,$A50)+SUMIFS(ExpExcl,ExpDocDate,"&lt;="&amp;$E$3,ExpDocDate,"&gt;"&amp;$E$2,ExpAccount,$A50),$C50-SUMIFS(IncExcl,IncDocDate,"&lt;="&amp;$E$3,IncDocDate,"&gt;"&amp;$C$3,IncAccount,$A50)+SUMIFS(ExpExcl,ExpDocDate,"&lt;="&amp;$E$3,ExpDocDate,"&gt;"&amp;$C$3,ExpAccount,$A50)+IF($A50="BS-1700",-SUMIFS(IncTax1,IncDocDate,"&lt;="&amp;$E$3,IncDocDate,"&gt;"&amp;$C$3)+SUMIFS(ExpTax1,ExpDocDate,"&lt;="&amp;$E$3,ExpDocDate,"&gt;"&amp;$C$3),0)+IF($A50="BS-1710",-IF(IncTaxCount=2,SUMIFS(IncTax2,IncDocDate,"&lt;="&amp;$E$3,IncDocDate,"&gt;"&amp;$C$3),0)+IF(ExpTaxCount=2,SUMIFS(ExpTax2,ExpDocDate,"&lt;="&amp;$E$3,ExpDocDate,"&gt;"&amp;$C$3),0),0))</f>
        <v>0</v>
      </c>
      <c r="F50" s="34">
        <f t="shared" ca="1" si="1"/>
        <v>0</v>
      </c>
      <c r="G50" s="34" cm="1">
        <f t="array" ref="G50">IF(LEFT($A50,2)="IS",-SUMIFS(IncExcl,IncDocDate,"&lt;="&amp;$G$3,IncDocDate,"&gt;"&amp;$G$2,IncAccount,$A50)+SUMIFS(ExpExcl,ExpDocDate,"&lt;="&amp;$G$3,ExpDocDate,"&gt;"&amp;$G$2,ExpAccount,$A50),$C50-SUMIFS(IncExcl,IncDocDate,"&lt;="&amp;$G$3,IncDocDate,"&gt;"&amp;$C$3,IncAccount,$A50)+SUMIFS(ExpExcl,ExpDocDate,"&lt;="&amp;$G$3,ExpDocDate,"&gt;"&amp;$C$3,ExpAccount,$A50)+IF($A50="BS-1700",-SUMIFS(IncTax1,IncDocDate,"&lt;="&amp;$G$3,IncDocDate,"&gt;"&amp;$C$3)+SUMIFS(ExpTax1,ExpDocDate,"&lt;="&amp;$G$3,ExpDocDate,"&gt;"&amp;$C$3),0)+IF($A50="BS-1710",-IF(IncTaxCount=2,SUMIFS(IncTax2,IncDocDate,"&lt;="&amp;$G$3,IncDocDate,"&gt;"&amp;$C$3),0)+IF(ExpTaxCount=2,SUMIFS(ExpTax2,ExpDocDate,"&lt;="&amp;$G$3,ExpDocDate,"&gt;"&amp;$C$3),0),0))</f>
        <v>0</v>
      </c>
      <c r="H50" s="35" t="str">
        <f t="shared" si="3"/>
        <v>Account</v>
      </c>
    </row>
    <row r="51" spans="1:8" ht="15.95" customHeight="1" x14ac:dyDescent="0.25">
      <c r="A51" s="12" t="s">
        <v>189</v>
      </c>
      <c r="B51" s="4" t="s">
        <v>15</v>
      </c>
      <c r="E51" s="34" cm="1">
        <f t="array" aca="1" ref="E51" ca="1">IF(LEFT($A51,2)="IS",-SUMIFS(IncExcl,IncDocDate,"&lt;="&amp;$E$3,IncDocDate,"&gt;"&amp;$E$2,IncAccount,$A51)+SUMIFS(ExpExcl,ExpDocDate,"&lt;="&amp;$E$3,ExpDocDate,"&gt;"&amp;$E$2,ExpAccount,$A51),$C51-SUMIFS(IncExcl,IncDocDate,"&lt;="&amp;$E$3,IncDocDate,"&gt;"&amp;$C$3,IncAccount,$A51)+SUMIFS(ExpExcl,ExpDocDate,"&lt;="&amp;$E$3,ExpDocDate,"&gt;"&amp;$C$3,ExpAccount,$A51)+IF($A51="BS-1700",-SUMIFS(IncTax1,IncDocDate,"&lt;="&amp;$E$3,IncDocDate,"&gt;"&amp;$C$3)+SUMIFS(ExpTax1,ExpDocDate,"&lt;="&amp;$E$3,ExpDocDate,"&gt;"&amp;$C$3),0)+IF($A51="BS-1710",-IF(IncTaxCount=2,SUMIFS(IncTax2,IncDocDate,"&lt;="&amp;$E$3,IncDocDate,"&gt;"&amp;$C$3),0)+IF(ExpTaxCount=2,SUMIFS(ExpTax2,ExpDocDate,"&lt;="&amp;$E$3,ExpDocDate,"&gt;"&amp;$C$3),0),0))</f>
        <v>0</v>
      </c>
      <c r="F51" s="34">
        <f t="shared" ca="1" si="1"/>
        <v>0</v>
      </c>
      <c r="G51" s="34" cm="1">
        <f t="array" ref="G51">IF(LEFT($A51,2)="IS",-SUMIFS(IncExcl,IncDocDate,"&lt;="&amp;$G$3,IncDocDate,"&gt;"&amp;$G$2,IncAccount,$A51)+SUMIFS(ExpExcl,ExpDocDate,"&lt;="&amp;$G$3,ExpDocDate,"&gt;"&amp;$G$2,ExpAccount,$A51),$C51-SUMIFS(IncExcl,IncDocDate,"&lt;="&amp;$G$3,IncDocDate,"&gt;"&amp;$C$3,IncAccount,$A51)+SUMIFS(ExpExcl,ExpDocDate,"&lt;="&amp;$G$3,ExpDocDate,"&gt;"&amp;$C$3,ExpAccount,$A51)+IF($A51="BS-1700",-SUMIFS(IncTax1,IncDocDate,"&lt;="&amp;$G$3,IncDocDate,"&gt;"&amp;$C$3)+SUMIFS(ExpTax1,ExpDocDate,"&lt;="&amp;$G$3,ExpDocDate,"&gt;"&amp;$C$3),0)+IF($A51="BS-1710",-IF(IncTaxCount=2,SUMIFS(IncTax2,IncDocDate,"&lt;="&amp;$G$3,IncDocDate,"&gt;"&amp;$C$3),0)+IF(ExpTaxCount=2,SUMIFS(ExpTax2,ExpDocDate,"&lt;="&amp;$G$3,ExpDocDate,"&gt;"&amp;$C$3),0),0))</f>
        <v>0</v>
      </c>
      <c r="H51" s="35" t="str">
        <f t="shared" si="3"/>
        <v>Account</v>
      </c>
    </row>
    <row r="52" spans="1:8" ht="15.95" customHeight="1" x14ac:dyDescent="0.25">
      <c r="A52" s="12" t="s">
        <v>190</v>
      </c>
      <c r="B52" s="4" t="s">
        <v>16</v>
      </c>
      <c r="E52" s="34" cm="1">
        <f t="array" aca="1" ref="E52" ca="1">IF(LEFT($A52,2)="IS",-SUMIFS(IncExcl,IncDocDate,"&lt;="&amp;$E$3,IncDocDate,"&gt;"&amp;$E$2,IncAccount,$A52)+SUMIFS(ExpExcl,ExpDocDate,"&lt;="&amp;$E$3,ExpDocDate,"&gt;"&amp;$E$2,ExpAccount,$A52),$C52-SUMIFS(IncExcl,IncDocDate,"&lt;="&amp;$E$3,IncDocDate,"&gt;"&amp;$C$3,IncAccount,$A52)+SUMIFS(ExpExcl,ExpDocDate,"&lt;="&amp;$E$3,ExpDocDate,"&gt;"&amp;$C$3,ExpAccount,$A52)+IF($A52="BS-1700",-SUMIFS(IncTax1,IncDocDate,"&lt;="&amp;$E$3,IncDocDate,"&gt;"&amp;$C$3)+SUMIFS(ExpTax1,ExpDocDate,"&lt;="&amp;$E$3,ExpDocDate,"&gt;"&amp;$C$3),0)+IF($A52="BS-1710",-IF(IncTaxCount=2,SUMIFS(IncTax2,IncDocDate,"&lt;="&amp;$E$3,IncDocDate,"&gt;"&amp;$C$3),0)+IF(ExpTaxCount=2,SUMIFS(ExpTax2,ExpDocDate,"&lt;="&amp;$E$3,ExpDocDate,"&gt;"&amp;$C$3),0),0))</f>
        <v>0</v>
      </c>
      <c r="F52" s="34">
        <f t="shared" ca="1" si="1"/>
        <v>0</v>
      </c>
      <c r="G52" s="34" cm="1">
        <f t="array" ref="G52">IF(LEFT($A52,2)="IS",-SUMIFS(IncExcl,IncDocDate,"&lt;="&amp;$G$3,IncDocDate,"&gt;"&amp;$G$2,IncAccount,$A52)+SUMIFS(ExpExcl,ExpDocDate,"&lt;="&amp;$G$3,ExpDocDate,"&gt;"&amp;$G$2,ExpAccount,$A52),$C52-SUMIFS(IncExcl,IncDocDate,"&lt;="&amp;$G$3,IncDocDate,"&gt;"&amp;$C$3,IncAccount,$A52)+SUMIFS(ExpExcl,ExpDocDate,"&lt;="&amp;$G$3,ExpDocDate,"&gt;"&amp;$C$3,ExpAccount,$A52)+IF($A52="BS-1700",-SUMIFS(IncTax1,IncDocDate,"&lt;="&amp;$G$3,IncDocDate,"&gt;"&amp;$C$3)+SUMIFS(ExpTax1,ExpDocDate,"&lt;="&amp;$G$3,ExpDocDate,"&gt;"&amp;$C$3),0)+IF($A52="BS-1710",-IF(IncTaxCount=2,SUMIFS(IncTax2,IncDocDate,"&lt;="&amp;$G$3,IncDocDate,"&gt;"&amp;$C$3),0)+IF(ExpTaxCount=2,SUMIFS(ExpTax2,ExpDocDate,"&lt;="&amp;$G$3,ExpDocDate,"&gt;"&amp;$C$3),0),0))</f>
        <v>0</v>
      </c>
      <c r="H52" s="35" t="str">
        <f t="shared" si="3"/>
        <v>Account</v>
      </c>
    </row>
    <row r="53" spans="1:8" ht="15.95" customHeight="1" x14ac:dyDescent="0.25">
      <c r="A53" s="12" t="s">
        <v>191</v>
      </c>
      <c r="B53" s="4" t="s">
        <v>17</v>
      </c>
      <c r="E53" s="34" cm="1">
        <f t="array" aca="1" ref="E53" ca="1">IF(LEFT($A53,2)="IS",-SUMIFS(IncExcl,IncDocDate,"&lt;="&amp;$E$3,IncDocDate,"&gt;"&amp;$E$2,IncAccount,$A53)+SUMIFS(ExpExcl,ExpDocDate,"&lt;="&amp;$E$3,ExpDocDate,"&gt;"&amp;$E$2,ExpAccount,$A53),$C53-SUMIFS(IncExcl,IncDocDate,"&lt;="&amp;$E$3,IncDocDate,"&gt;"&amp;$C$3,IncAccount,$A53)+SUMIFS(ExpExcl,ExpDocDate,"&lt;="&amp;$E$3,ExpDocDate,"&gt;"&amp;$C$3,ExpAccount,$A53)+IF($A53="BS-1700",-SUMIFS(IncTax1,IncDocDate,"&lt;="&amp;$E$3,IncDocDate,"&gt;"&amp;$C$3)+SUMIFS(ExpTax1,ExpDocDate,"&lt;="&amp;$E$3,ExpDocDate,"&gt;"&amp;$C$3),0)+IF($A53="BS-1710",-IF(IncTaxCount=2,SUMIFS(IncTax2,IncDocDate,"&lt;="&amp;$E$3,IncDocDate,"&gt;"&amp;$C$3),0)+IF(ExpTaxCount=2,SUMIFS(ExpTax2,ExpDocDate,"&lt;="&amp;$E$3,ExpDocDate,"&gt;"&amp;$C$3),0),0))</f>
        <v>0</v>
      </c>
      <c r="F53" s="34">
        <f t="shared" ca="1" si="1"/>
        <v>0</v>
      </c>
      <c r="G53" s="34" cm="1">
        <f t="array" ref="G53">IF(LEFT($A53,2)="IS",-SUMIFS(IncExcl,IncDocDate,"&lt;="&amp;$G$3,IncDocDate,"&gt;"&amp;$G$2,IncAccount,$A53)+SUMIFS(ExpExcl,ExpDocDate,"&lt;="&amp;$G$3,ExpDocDate,"&gt;"&amp;$G$2,ExpAccount,$A53),$C53-SUMIFS(IncExcl,IncDocDate,"&lt;="&amp;$G$3,IncDocDate,"&gt;"&amp;$C$3,IncAccount,$A53)+SUMIFS(ExpExcl,ExpDocDate,"&lt;="&amp;$G$3,ExpDocDate,"&gt;"&amp;$C$3,ExpAccount,$A53)+IF($A53="BS-1700",-SUMIFS(IncTax1,IncDocDate,"&lt;="&amp;$G$3,IncDocDate,"&gt;"&amp;$C$3)+SUMIFS(ExpTax1,ExpDocDate,"&lt;="&amp;$G$3,ExpDocDate,"&gt;"&amp;$C$3),0)+IF($A53="BS-1710",-IF(IncTaxCount=2,SUMIFS(IncTax2,IncDocDate,"&lt;="&amp;$G$3,IncDocDate,"&gt;"&amp;$C$3),0)+IF(ExpTaxCount=2,SUMIFS(ExpTax2,ExpDocDate,"&lt;="&amp;$G$3,ExpDocDate,"&gt;"&amp;$C$3),0),0))</f>
        <v>0</v>
      </c>
      <c r="H53" s="35" t="str">
        <f t="shared" si="3"/>
        <v>Account</v>
      </c>
    </row>
    <row r="54" spans="1:8" ht="15.95" customHeight="1" x14ac:dyDescent="0.25">
      <c r="A54" s="12" t="s">
        <v>192</v>
      </c>
      <c r="B54" s="4" t="s">
        <v>25</v>
      </c>
      <c r="E54" s="34" cm="1">
        <f t="array" aca="1" ref="E54" ca="1">IF(LEFT($A54,2)="IS",-SUMIFS(IncExcl,IncDocDate,"&lt;="&amp;$E$3,IncDocDate,"&gt;"&amp;$E$2,IncAccount,$A54)+SUMIFS(ExpExcl,ExpDocDate,"&lt;="&amp;$E$3,ExpDocDate,"&gt;"&amp;$E$2,ExpAccount,$A54),$C54-SUMIFS(IncExcl,IncDocDate,"&lt;="&amp;$E$3,IncDocDate,"&gt;"&amp;$C$3,IncAccount,$A54)+SUMIFS(ExpExcl,ExpDocDate,"&lt;="&amp;$E$3,ExpDocDate,"&gt;"&amp;$C$3,ExpAccount,$A54)+IF($A54="BS-1700",-SUMIFS(IncTax1,IncDocDate,"&lt;="&amp;$E$3,IncDocDate,"&gt;"&amp;$C$3)+SUMIFS(ExpTax1,ExpDocDate,"&lt;="&amp;$E$3,ExpDocDate,"&gt;"&amp;$C$3),0)+IF($A54="BS-1710",-IF(IncTaxCount=2,SUMIFS(IncTax2,IncDocDate,"&lt;="&amp;$E$3,IncDocDate,"&gt;"&amp;$C$3),0)+IF(ExpTaxCount=2,SUMIFS(ExpTax2,ExpDocDate,"&lt;="&amp;$E$3,ExpDocDate,"&gt;"&amp;$C$3),0),0))</f>
        <v>0</v>
      </c>
      <c r="F54" s="34">
        <f t="shared" ca="1" si="1"/>
        <v>0</v>
      </c>
      <c r="G54" s="34" cm="1">
        <f t="array" ref="G54">IF(LEFT($A54,2)="IS",-SUMIFS(IncExcl,IncDocDate,"&lt;="&amp;$G$3,IncDocDate,"&gt;"&amp;$G$2,IncAccount,$A54)+SUMIFS(ExpExcl,ExpDocDate,"&lt;="&amp;$G$3,ExpDocDate,"&gt;"&amp;$G$2,ExpAccount,$A54),$C54-SUMIFS(IncExcl,IncDocDate,"&lt;="&amp;$G$3,IncDocDate,"&gt;"&amp;$C$3,IncAccount,$A54)+SUMIFS(ExpExcl,ExpDocDate,"&lt;="&amp;$G$3,ExpDocDate,"&gt;"&amp;$C$3,ExpAccount,$A54)+IF($A54="BS-1700",-SUMIFS(IncTax1,IncDocDate,"&lt;="&amp;$G$3,IncDocDate,"&gt;"&amp;$C$3)+SUMIFS(ExpTax1,ExpDocDate,"&lt;="&amp;$G$3,ExpDocDate,"&gt;"&amp;$C$3),0)+IF($A54="BS-1710",-IF(IncTaxCount=2,SUMIFS(IncTax2,IncDocDate,"&lt;="&amp;$G$3,IncDocDate,"&gt;"&amp;$C$3),0)+IF(ExpTaxCount=2,SUMIFS(ExpTax2,ExpDocDate,"&lt;="&amp;$G$3,ExpDocDate,"&gt;"&amp;$C$3),0),0))</f>
        <v>0</v>
      </c>
      <c r="H54" s="35" t="str">
        <f t="shared" si="3"/>
        <v>Account</v>
      </c>
    </row>
    <row r="55" spans="1:8" ht="15.95" customHeight="1" x14ac:dyDescent="0.25">
      <c r="A55" s="12" t="s">
        <v>193</v>
      </c>
      <c r="B55" s="4" t="s">
        <v>18</v>
      </c>
      <c r="E55" s="34" cm="1">
        <f t="array" aca="1" ref="E55" ca="1">IF(LEFT($A55,2)="IS",-SUMIFS(IncExcl,IncDocDate,"&lt;="&amp;$E$3,IncDocDate,"&gt;"&amp;$E$2,IncAccount,$A55)+SUMIFS(ExpExcl,ExpDocDate,"&lt;="&amp;$E$3,ExpDocDate,"&gt;"&amp;$E$2,ExpAccount,$A55),$C55-SUMIFS(IncExcl,IncDocDate,"&lt;="&amp;$E$3,IncDocDate,"&gt;"&amp;$C$3,IncAccount,$A55)+SUMIFS(ExpExcl,ExpDocDate,"&lt;="&amp;$E$3,ExpDocDate,"&gt;"&amp;$C$3,ExpAccount,$A55)+IF($A55="BS-1700",-SUMIFS(IncTax1,IncDocDate,"&lt;="&amp;$E$3,IncDocDate,"&gt;"&amp;$C$3)+SUMIFS(ExpTax1,ExpDocDate,"&lt;="&amp;$E$3,ExpDocDate,"&gt;"&amp;$C$3),0)+IF($A55="BS-1710",-IF(IncTaxCount=2,SUMIFS(IncTax2,IncDocDate,"&lt;="&amp;$E$3,IncDocDate,"&gt;"&amp;$C$3),0)+IF(ExpTaxCount=2,SUMIFS(ExpTax2,ExpDocDate,"&lt;="&amp;$E$3,ExpDocDate,"&gt;"&amp;$C$3),0),0))</f>
        <v>0</v>
      </c>
      <c r="F55" s="34">
        <f t="shared" ca="1" si="1"/>
        <v>0</v>
      </c>
      <c r="G55" s="34" cm="1">
        <f t="array" ref="G55">IF(LEFT($A55,2)="IS",-SUMIFS(IncExcl,IncDocDate,"&lt;="&amp;$G$3,IncDocDate,"&gt;"&amp;$G$2,IncAccount,$A55)+SUMIFS(ExpExcl,ExpDocDate,"&lt;="&amp;$G$3,ExpDocDate,"&gt;"&amp;$G$2,ExpAccount,$A55),$C55-SUMIFS(IncExcl,IncDocDate,"&lt;="&amp;$G$3,IncDocDate,"&gt;"&amp;$C$3,IncAccount,$A55)+SUMIFS(ExpExcl,ExpDocDate,"&lt;="&amp;$G$3,ExpDocDate,"&gt;"&amp;$C$3,ExpAccount,$A55)+IF($A55="BS-1700",-SUMIFS(IncTax1,IncDocDate,"&lt;="&amp;$G$3,IncDocDate,"&gt;"&amp;$C$3)+SUMIFS(ExpTax1,ExpDocDate,"&lt;="&amp;$G$3,ExpDocDate,"&gt;"&amp;$C$3),0)+IF($A55="BS-1710",-IF(IncTaxCount=2,SUMIFS(IncTax2,IncDocDate,"&lt;="&amp;$G$3,IncDocDate,"&gt;"&amp;$C$3),0)+IF(ExpTaxCount=2,SUMIFS(ExpTax2,ExpDocDate,"&lt;="&amp;$G$3,ExpDocDate,"&gt;"&amp;$C$3),0),0))</f>
        <v>0</v>
      </c>
      <c r="H55" s="35" t="str">
        <f t="shared" si="3"/>
        <v>Account</v>
      </c>
    </row>
    <row r="56" spans="1:8" ht="15.95" customHeight="1" x14ac:dyDescent="0.25">
      <c r="A56" s="12" t="s">
        <v>194</v>
      </c>
      <c r="B56" s="4" t="s">
        <v>19</v>
      </c>
      <c r="E56" s="34" cm="1">
        <f t="array" aca="1" ref="E56" ca="1">IF(LEFT($A56,2)="IS",-SUMIFS(IncExcl,IncDocDate,"&lt;="&amp;$E$3,IncDocDate,"&gt;"&amp;$E$2,IncAccount,$A56)+SUMIFS(ExpExcl,ExpDocDate,"&lt;="&amp;$E$3,ExpDocDate,"&gt;"&amp;$E$2,ExpAccount,$A56),$C56-SUMIFS(IncExcl,IncDocDate,"&lt;="&amp;$E$3,IncDocDate,"&gt;"&amp;$C$3,IncAccount,$A56)+SUMIFS(ExpExcl,ExpDocDate,"&lt;="&amp;$E$3,ExpDocDate,"&gt;"&amp;$C$3,ExpAccount,$A56)+IF($A56="BS-1700",-SUMIFS(IncTax1,IncDocDate,"&lt;="&amp;$E$3,IncDocDate,"&gt;"&amp;$C$3)+SUMIFS(ExpTax1,ExpDocDate,"&lt;="&amp;$E$3,ExpDocDate,"&gt;"&amp;$C$3),0)+IF($A56="BS-1710",-IF(IncTaxCount=2,SUMIFS(IncTax2,IncDocDate,"&lt;="&amp;$E$3,IncDocDate,"&gt;"&amp;$C$3),0)+IF(ExpTaxCount=2,SUMIFS(ExpTax2,ExpDocDate,"&lt;="&amp;$E$3,ExpDocDate,"&gt;"&amp;$C$3),0),0))</f>
        <v>0</v>
      </c>
      <c r="F56" s="34">
        <f t="shared" ca="1" si="1"/>
        <v>0</v>
      </c>
      <c r="G56" s="34" cm="1">
        <f t="array" ref="G56">IF(LEFT($A56,2)="IS",-SUMIFS(IncExcl,IncDocDate,"&lt;="&amp;$G$3,IncDocDate,"&gt;"&amp;$G$2,IncAccount,$A56)+SUMIFS(ExpExcl,ExpDocDate,"&lt;="&amp;$G$3,ExpDocDate,"&gt;"&amp;$G$2,ExpAccount,$A56),$C56-SUMIFS(IncExcl,IncDocDate,"&lt;="&amp;$G$3,IncDocDate,"&gt;"&amp;$C$3,IncAccount,$A56)+SUMIFS(ExpExcl,ExpDocDate,"&lt;="&amp;$G$3,ExpDocDate,"&gt;"&amp;$C$3,ExpAccount,$A56)+IF($A56="BS-1700",-SUMIFS(IncTax1,IncDocDate,"&lt;="&amp;$G$3,IncDocDate,"&gt;"&amp;$C$3)+SUMIFS(ExpTax1,ExpDocDate,"&lt;="&amp;$G$3,ExpDocDate,"&gt;"&amp;$C$3),0)+IF($A56="BS-1710",-IF(IncTaxCount=2,SUMIFS(IncTax2,IncDocDate,"&lt;="&amp;$G$3,IncDocDate,"&gt;"&amp;$C$3),0)+IF(ExpTaxCount=2,SUMIFS(ExpTax2,ExpDocDate,"&lt;="&amp;$G$3,ExpDocDate,"&gt;"&amp;$C$3),0),0))</f>
        <v>0</v>
      </c>
      <c r="H56" s="35" t="str">
        <f t="shared" si="3"/>
        <v>Account</v>
      </c>
    </row>
    <row r="57" spans="1:8" ht="15.95" customHeight="1" x14ac:dyDescent="0.25">
      <c r="A57" s="12" t="s">
        <v>195</v>
      </c>
      <c r="B57" s="4" t="s">
        <v>20</v>
      </c>
      <c r="E57" s="34" cm="1">
        <f t="array" aca="1" ref="E57" ca="1">IF(LEFT($A57,2)="IS",-SUMIFS(IncExcl,IncDocDate,"&lt;="&amp;$E$3,IncDocDate,"&gt;"&amp;$E$2,IncAccount,$A57)+SUMIFS(ExpExcl,ExpDocDate,"&lt;="&amp;$E$3,ExpDocDate,"&gt;"&amp;$E$2,ExpAccount,$A57),$C57-SUMIFS(IncExcl,IncDocDate,"&lt;="&amp;$E$3,IncDocDate,"&gt;"&amp;$C$3,IncAccount,$A57)+SUMIFS(ExpExcl,ExpDocDate,"&lt;="&amp;$E$3,ExpDocDate,"&gt;"&amp;$C$3,ExpAccount,$A57)+IF($A57="BS-1700",-SUMIFS(IncTax1,IncDocDate,"&lt;="&amp;$E$3,IncDocDate,"&gt;"&amp;$C$3)+SUMIFS(ExpTax1,ExpDocDate,"&lt;="&amp;$E$3,ExpDocDate,"&gt;"&amp;$C$3),0)+IF($A57="BS-1710",-IF(IncTaxCount=2,SUMIFS(IncTax2,IncDocDate,"&lt;="&amp;$E$3,IncDocDate,"&gt;"&amp;$C$3),0)+IF(ExpTaxCount=2,SUMIFS(ExpTax2,ExpDocDate,"&lt;="&amp;$E$3,ExpDocDate,"&gt;"&amp;$C$3),0),0))</f>
        <v>0</v>
      </c>
      <c r="F57" s="34">
        <f t="shared" ca="1" si="1"/>
        <v>0</v>
      </c>
      <c r="G57" s="34" cm="1">
        <f t="array" ref="G57">IF(LEFT($A57,2)="IS",-SUMIFS(IncExcl,IncDocDate,"&lt;="&amp;$G$3,IncDocDate,"&gt;"&amp;$G$2,IncAccount,$A57)+SUMIFS(ExpExcl,ExpDocDate,"&lt;="&amp;$G$3,ExpDocDate,"&gt;"&amp;$G$2,ExpAccount,$A57),$C57-SUMIFS(IncExcl,IncDocDate,"&lt;="&amp;$G$3,IncDocDate,"&gt;"&amp;$C$3,IncAccount,$A57)+SUMIFS(ExpExcl,ExpDocDate,"&lt;="&amp;$G$3,ExpDocDate,"&gt;"&amp;$C$3,ExpAccount,$A57)+IF($A57="BS-1700",-SUMIFS(IncTax1,IncDocDate,"&lt;="&amp;$G$3,IncDocDate,"&gt;"&amp;$C$3)+SUMIFS(ExpTax1,ExpDocDate,"&lt;="&amp;$G$3,ExpDocDate,"&gt;"&amp;$C$3),0)+IF($A57="BS-1710",-IF(IncTaxCount=2,SUMIFS(IncTax2,IncDocDate,"&lt;="&amp;$G$3,IncDocDate,"&gt;"&amp;$C$3),0)+IF(ExpTaxCount=2,SUMIFS(ExpTax2,ExpDocDate,"&lt;="&amp;$G$3,ExpDocDate,"&gt;"&amp;$C$3),0),0))</f>
        <v>0</v>
      </c>
      <c r="H57" s="35" t="str">
        <f t="shared" si="3"/>
        <v>Account</v>
      </c>
    </row>
    <row r="58" spans="1:8" ht="15.95" customHeight="1" x14ac:dyDescent="0.25">
      <c r="A58" s="12" t="s">
        <v>196</v>
      </c>
      <c r="B58" s="4" t="s">
        <v>21</v>
      </c>
      <c r="E58" s="34" cm="1">
        <f t="array" aca="1" ref="E58" ca="1">IF(LEFT($A58,2)="IS",-SUMIFS(IncExcl,IncDocDate,"&lt;="&amp;$E$3,IncDocDate,"&gt;"&amp;$E$2,IncAccount,$A58)+SUMIFS(ExpExcl,ExpDocDate,"&lt;="&amp;$E$3,ExpDocDate,"&gt;"&amp;$E$2,ExpAccount,$A58),$C58-SUMIFS(IncExcl,IncDocDate,"&lt;="&amp;$E$3,IncDocDate,"&gt;"&amp;$C$3,IncAccount,$A58)+SUMIFS(ExpExcl,ExpDocDate,"&lt;="&amp;$E$3,ExpDocDate,"&gt;"&amp;$C$3,ExpAccount,$A58)+IF($A58="BS-1700",-SUMIFS(IncTax1,IncDocDate,"&lt;="&amp;$E$3,IncDocDate,"&gt;"&amp;$C$3)+SUMIFS(ExpTax1,ExpDocDate,"&lt;="&amp;$E$3,ExpDocDate,"&gt;"&amp;$C$3),0)+IF($A58="BS-1710",-IF(IncTaxCount=2,SUMIFS(IncTax2,IncDocDate,"&lt;="&amp;$E$3,IncDocDate,"&gt;"&amp;$C$3),0)+IF(ExpTaxCount=2,SUMIFS(ExpTax2,ExpDocDate,"&lt;="&amp;$E$3,ExpDocDate,"&gt;"&amp;$C$3),0),0))</f>
        <v>0</v>
      </c>
      <c r="F58" s="34">
        <f t="shared" ca="1" si="1"/>
        <v>0</v>
      </c>
      <c r="G58" s="34" cm="1">
        <f t="array" ref="G58">IF(LEFT($A58,2)="IS",-SUMIFS(IncExcl,IncDocDate,"&lt;="&amp;$G$3,IncDocDate,"&gt;"&amp;$G$2,IncAccount,$A58)+SUMIFS(ExpExcl,ExpDocDate,"&lt;="&amp;$G$3,ExpDocDate,"&gt;"&amp;$G$2,ExpAccount,$A58),$C58-SUMIFS(IncExcl,IncDocDate,"&lt;="&amp;$G$3,IncDocDate,"&gt;"&amp;$C$3,IncAccount,$A58)+SUMIFS(ExpExcl,ExpDocDate,"&lt;="&amp;$G$3,ExpDocDate,"&gt;"&amp;$C$3,ExpAccount,$A58)+IF($A58="BS-1700",-SUMIFS(IncTax1,IncDocDate,"&lt;="&amp;$G$3,IncDocDate,"&gt;"&amp;$C$3)+SUMIFS(ExpTax1,ExpDocDate,"&lt;="&amp;$G$3,ExpDocDate,"&gt;"&amp;$C$3),0)+IF($A58="BS-1710",-IF(IncTaxCount=2,SUMIFS(IncTax2,IncDocDate,"&lt;="&amp;$G$3,IncDocDate,"&gt;"&amp;$C$3),0)+IF(ExpTaxCount=2,SUMIFS(ExpTax2,ExpDocDate,"&lt;="&amp;$G$3,ExpDocDate,"&gt;"&amp;$C$3),0),0))</f>
        <v>0</v>
      </c>
      <c r="H58" s="35" t="str">
        <f t="shared" si="3"/>
        <v>Account</v>
      </c>
    </row>
    <row r="59" spans="1:8" ht="15.95" customHeight="1" x14ac:dyDescent="0.25">
      <c r="A59" s="12" t="s">
        <v>197</v>
      </c>
      <c r="B59" s="4" t="s">
        <v>22</v>
      </c>
      <c r="E59" s="34" cm="1">
        <f t="array" aca="1" ref="E59" ca="1">IF(LEFT($A59,2)="IS",-SUMIFS(IncExcl,IncDocDate,"&lt;="&amp;$E$3,IncDocDate,"&gt;"&amp;$E$2,IncAccount,$A59)+SUMIFS(ExpExcl,ExpDocDate,"&lt;="&amp;$E$3,ExpDocDate,"&gt;"&amp;$E$2,ExpAccount,$A59),$C59-SUMIFS(IncExcl,IncDocDate,"&lt;="&amp;$E$3,IncDocDate,"&gt;"&amp;$C$3,IncAccount,$A59)+SUMIFS(ExpExcl,ExpDocDate,"&lt;="&amp;$E$3,ExpDocDate,"&gt;"&amp;$C$3,ExpAccount,$A59)+IF($A59="BS-1700",-SUMIFS(IncTax1,IncDocDate,"&lt;="&amp;$E$3,IncDocDate,"&gt;"&amp;$C$3)+SUMIFS(ExpTax1,ExpDocDate,"&lt;="&amp;$E$3,ExpDocDate,"&gt;"&amp;$C$3),0)+IF($A59="BS-1710",-IF(IncTaxCount=2,SUMIFS(IncTax2,IncDocDate,"&lt;="&amp;$E$3,IncDocDate,"&gt;"&amp;$C$3),0)+IF(ExpTaxCount=2,SUMIFS(ExpTax2,ExpDocDate,"&lt;="&amp;$E$3,ExpDocDate,"&gt;"&amp;$C$3),0),0))</f>
        <v>0</v>
      </c>
      <c r="F59" s="34">
        <f t="shared" ca="1" si="1"/>
        <v>710798.40677966108</v>
      </c>
      <c r="G59" s="34" cm="1">
        <f t="array" aca="1" ref="G59" ca="1">IF(LEFT($A59,2)="IS",-SUMIFS(IncExcl,IncDocDate,"&lt;="&amp;$G$3,IncDocDate,"&gt;"&amp;$G$2,IncAccount,$A59)+SUMIFS(ExpExcl,ExpDocDate,"&lt;="&amp;$G$3,ExpDocDate,"&gt;"&amp;$G$2,ExpAccount,$A59),$C59-SUMIFS(IncExcl,IncDocDate,"&lt;="&amp;$G$3,IncDocDate,"&gt;"&amp;$C$3,IncAccount,$A59)+SUMIFS(ExpExcl,ExpDocDate,"&lt;="&amp;$G$3,ExpDocDate,"&gt;"&amp;$C$3,ExpAccount,$A59)+IF($A59="BS-1700",-SUMIFS(IncTax1,IncDocDate,"&lt;="&amp;$G$3,IncDocDate,"&gt;"&amp;$C$3)+SUMIFS(ExpTax1,ExpDocDate,"&lt;="&amp;$G$3,ExpDocDate,"&gt;"&amp;$C$3),0)+IF($A59="BS-1710",-IF(IncTaxCount=2,SUMIFS(IncTax2,IncDocDate,"&lt;="&amp;$G$3,IncDocDate,"&gt;"&amp;$C$3),0)+IF(ExpTaxCount=2,SUMIFS(ExpTax2,ExpDocDate,"&lt;="&amp;$G$3,ExpDocDate,"&gt;"&amp;$C$3),0),0))</f>
        <v>710798.40677966108</v>
      </c>
      <c r="H59" s="35" t="str">
        <f t="shared" si="3"/>
        <v>Account</v>
      </c>
    </row>
    <row r="60" spans="1:8" ht="15.95" customHeight="1" x14ac:dyDescent="0.25">
      <c r="A60" s="12" t="s">
        <v>198</v>
      </c>
      <c r="B60" s="4" t="s">
        <v>23</v>
      </c>
      <c r="E60" s="34" cm="1">
        <f t="array" aca="1" ref="E60" ca="1">IF(LEFT($A60,2)="IS",-SUMIFS(IncExcl,IncDocDate,"&lt;="&amp;$E$3,IncDocDate,"&gt;"&amp;$E$2,IncAccount,$A60)+SUMIFS(ExpExcl,ExpDocDate,"&lt;="&amp;$E$3,ExpDocDate,"&gt;"&amp;$E$2,ExpAccount,$A60),$C60-SUMIFS(IncExcl,IncDocDate,"&lt;="&amp;$E$3,IncDocDate,"&gt;"&amp;$C$3,IncAccount,$A60)+SUMIFS(ExpExcl,ExpDocDate,"&lt;="&amp;$E$3,ExpDocDate,"&gt;"&amp;$C$3,ExpAccount,$A60)+IF($A60="BS-1700",-SUMIFS(IncTax1,IncDocDate,"&lt;="&amp;$E$3,IncDocDate,"&gt;"&amp;$C$3)+SUMIFS(ExpTax1,ExpDocDate,"&lt;="&amp;$E$3,ExpDocDate,"&gt;"&amp;$C$3),0)+IF($A60="BS-1710",-IF(IncTaxCount=2,SUMIFS(IncTax2,IncDocDate,"&lt;="&amp;$E$3,IncDocDate,"&gt;"&amp;$C$3),0)+IF(ExpTaxCount=2,SUMIFS(ExpTax2,ExpDocDate,"&lt;="&amp;$E$3,ExpDocDate,"&gt;"&amp;$C$3),0),0))</f>
        <v>0</v>
      </c>
      <c r="F60" s="34">
        <f t="shared" ca="1" si="1"/>
        <v>0</v>
      </c>
      <c r="G60" s="34" cm="1">
        <f t="array" ref="G60">IF(LEFT($A60,2)="IS",-SUMIFS(IncExcl,IncDocDate,"&lt;="&amp;$G$3,IncDocDate,"&gt;"&amp;$G$2,IncAccount,$A60)+SUMIFS(ExpExcl,ExpDocDate,"&lt;="&amp;$G$3,ExpDocDate,"&gt;"&amp;$G$2,ExpAccount,$A60),$C60-SUMIFS(IncExcl,IncDocDate,"&lt;="&amp;$G$3,IncDocDate,"&gt;"&amp;$C$3,IncAccount,$A60)+SUMIFS(ExpExcl,ExpDocDate,"&lt;="&amp;$G$3,ExpDocDate,"&gt;"&amp;$C$3,ExpAccount,$A60)+IF($A60="BS-1700",-SUMIFS(IncTax1,IncDocDate,"&lt;="&amp;$G$3,IncDocDate,"&gt;"&amp;$C$3)+SUMIFS(ExpTax1,ExpDocDate,"&lt;="&amp;$G$3,ExpDocDate,"&gt;"&amp;$C$3),0)+IF($A60="BS-1710",-IF(IncTaxCount=2,SUMIFS(IncTax2,IncDocDate,"&lt;="&amp;$G$3,IncDocDate,"&gt;"&amp;$C$3),0)+IF(ExpTaxCount=2,SUMIFS(ExpTax2,ExpDocDate,"&lt;="&amp;$G$3,ExpDocDate,"&gt;"&amp;$C$3),0),0))</f>
        <v>0</v>
      </c>
      <c r="H60" s="35" t="str">
        <f t="shared" si="3"/>
        <v>Account</v>
      </c>
    </row>
    <row r="61" spans="1:8" ht="15.95" customHeight="1" x14ac:dyDescent="0.25">
      <c r="A61" s="12" t="s">
        <v>199</v>
      </c>
      <c r="B61" s="4" t="s">
        <v>24</v>
      </c>
      <c r="E61" s="34" cm="1">
        <f t="array" aca="1" ref="E61" ca="1">IF(LEFT($A61,2)="IS",-SUMIFS(IncExcl,IncDocDate,"&lt;="&amp;$E$3,IncDocDate,"&gt;"&amp;$E$2,IncAccount,$A61)+SUMIFS(ExpExcl,ExpDocDate,"&lt;="&amp;$E$3,ExpDocDate,"&gt;"&amp;$E$2,ExpAccount,$A61),$C61-SUMIFS(IncExcl,IncDocDate,"&lt;="&amp;$E$3,IncDocDate,"&gt;"&amp;$C$3,IncAccount,$A61)+SUMIFS(ExpExcl,ExpDocDate,"&lt;="&amp;$E$3,ExpDocDate,"&gt;"&amp;$C$3,ExpAccount,$A61)+IF($A61="BS-1700",-SUMIFS(IncTax1,IncDocDate,"&lt;="&amp;$E$3,IncDocDate,"&gt;"&amp;$C$3)+SUMIFS(ExpTax1,ExpDocDate,"&lt;="&amp;$E$3,ExpDocDate,"&gt;"&amp;$C$3),0)+IF($A61="BS-1710",-IF(IncTaxCount=2,SUMIFS(IncTax2,IncDocDate,"&lt;="&amp;$E$3,IncDocDate,"&gt;"&amp;$C$3),0)+IF(ExpTaxCount=2,SUMIFS(ExpTax2,ExpDocDate,"&lt;="&amp;$E$3,ExpDocDate,"&gt;"&amp;$C$3),0),0))</f>
        <v>0</v>
      </c>
      <c r="F61" s="34">
        <f t="shared" ca="1" si="1"/>
        <v>0</v>
      </c>
      <c r="G61" s="34" cm="1">
        <f t="array" ref="G61">IF(LEFT($A61,2)="IS",-SUMIFS(IncExcl,IncDocDate,"&lt;="&amp;$G$3,IncDocDate,"&gt;"&amp;$G$2,IncAccount,$A61)+SUMIFS(ExpExcl,ExpDocDate,"&lt;="&amp;$G$3,ExpDocDate,"&gt;"&amp;$G$2,ExpAccount,$A61),$C61-SUMIFS(IncExcl,IncDocDate,"&lt;="&amp;$G$3,IncDocDate,"&gt;"&amp;$C$3,IncAccount,$A61)+SUMIFS(ExpExcl,ExpDocDate,"&lt;="&amp;$G$3,ExpDocDate,"&gt;"&amp;$C$3,ExpAccount,$A61)+IF($A61="BS-1700",-SUMIFS(IncTax1,IncDocDate,"&lt;="&amp;$G$3,IncDocDate,"&gt;"&amp;$C$3)+SUMIFS(ExpTax1,ExpDocDate,"&lt;="&amp;$G$3,ExpDocDate,"&gt;"&amp;$C$3),0)+IF($A61="BS-1710",-IF(IncTaxCount=2,SUMIFS(IncTax2,IncDocDate,"&lt;="&amp;$G$3,IncDocDate,"&gt;"&amp;$C$3),0)+IF(ExpTaxCount=2,SUMIFS(ExpTax2,ExpDocDate,"&lt;="&amp;$G$3,ExpDocDate,"&gt;"&amp;$C$3),0),0))</f>
        <v>0</v>
      </c>
      <c r="H61" s="35" t="str">
        <f t="shared" si="3"/>
        <v>Account</v>
      </c>
    </row>
    <row r="62" spans="1:8" ht="15.95" customHeight="1" x14ac:dyDescent="0.25">
      <c r="A62" s="12" t="s">
        <v>200</v>
      </c>
      <c r="B62" s="4" t="s">
        <v>27</v>
      </c>
      <c r="E62" s="34" cm="1">
        <f t="array" aca="1" ref="E62" ca="1">IF(LEFT($A62,2)="IS",-SUMIFS(IncExcl,IncDocDate,"&lt;="&amp;$E$3,IncDocDate,"&gt;"&amp;$E$2,IncAccount,$A62)+SUMIFS(ExpExcl,ExpDocDate,"&lt;="&amp;$E$3,ExpDocDate,"&gt;"&amp;$E$2,ExpAccount,$A62),$C62-SUMIFS(IncExcl,IncDocDate,"&lt;="&amp;$E$3,IncDocDate,"&gt;"&amp;$C$3,IncAccount,$A62)+SUMIFS(ExpExcl,ExpDocDate,"&lt;="&amp;$E$3,ExpDocDate,"&gt;"&amp;$C$3,ExpAccount,$A62)+IF($A62="BS-1700",-SUMIFS(IncTax1,IncDocDate,"&lt;="&amp;$E$3,IncDocDate,"&gt;"&amp;$C$3)+SUMIFS(ExpTax1,ExpDocDate,"&lt;="&amp;$E$3,ExpDocDate,"&gt;"&amp;$C$3),0)+IF($A62="BS-1710",-IF(IncTaxCount=2,SUMIFS(IncTax2,IncDocDate,"&lt;="&amp;$E$3,IncDocDate,"&gt;"&amp;$C$3),0)+IF(ExpTaxCount=2,SUMIFS(ExpTax2,ExpDocDate,"&lt;="&amp;$E$3,ExpDocDate,"&gt;"&amp;$C$3),0),0))</f>
        <v>0</v>
      </c>
      <c r="F62" s="34">
        <f t="shared" ca="1" si="1"/>
        <v>0</v>
      </c>
      <c r="G62" s="34" cm="1">
        <f t="array" ref="G62">IF(LEFT($A62,2)="IS",-SUMIFS(IncExcl,IncDocDate,"&lt;="&amp;$G$3,IncDocDate,"&gt;"&amp;$G$2,IncAccount,$A62)+SUMIFS(ExpExcl,ExpDocDate,"&lt;="&amp;$G$3,ExpDocDate,"&gt;"&amp;$G$2,ExpAccount,$A62),$C62-SUMIFS(IncExcl,IncDocDate,"&lt;="&amp;$G$3,IncDocDate,"&gt;"&amp;$C$3,IncAccount,$A62)+SUMIFS(ExpExcl,ExpDocDate,"&lt;="&amp;$G$3,ExpDocDate,"&gt;"&amp;$C$3,ExpAccount,$A62)+IF($A62="BS-1700",-SUMIFS(IncTax1,IncDocDate,"&lt;="&amp;$G$3,IncDocDate,"&gt;"&amp;$C$3)+SUMIFS(ExpTax1,ExpDocDate,"&lt;="&amp;$G$3,ExpDocDate,"&gt;"&amp;$C$3),0)+IF($A62="BS-1710",-IF(IncTaxCount=2,SUMIFS(IncTax2,IncDocDate,"&lt;="&amp;$G$3,IncDocDate,"&gt;"&amp;$C$3),0)+IF(ExpTaxCount=2,SUMIFS(ExpTax2,ExpDocDate,"&lt;="&amp;$G$3,ExpDocDate,"&gt;"&amp;$C$3),0),0))</f>
        <v>0</v>
      </c>
      <c r="H62" s="35" t="str">
        <f t="shared" si="3"/>
        <v>Account</v>
      </c>
    </row>
    <row r="63" spans="1:8" ht="15.95" customHeight="1" x14ac:dyDescent="0.25">
      <c r="A63" s="12" t="s">
        <v>258</v>
      </c>
      <c r="B63" s="4" t="s">
        <v>259</v>
      </c>
      <c r="E63" s="34" cm="1">
        <f t="array" aca="1" ref="E63" ca="1">IF(LEFT($A63,2)="IS",-SUMIFS(IncExcl,IncDocDate,"&lt;="&amp;$E$3,IncDocDate,"&gt;"&amp;$E$2,IncAccount,$A63)+SUMIFS(ExpExcl,ExpDocDate,"&lt;="&amp;$E$3,ExpDocDate,"&gt;"&amp;$E$2,ExpAccount,$A63),$C63-SUMIFS(IncExcl,IncDocDate,"&lt;="&amp;$E$3,IncDocDate,"&gt;"&amp;$C$3,IncAccount,$A63)+SUMIFS(ExpExcl,ExpDocDate,"&lt;="&amp;$E$3,ExpDocDate,"&gt;"&amp;$C$3,ExpAccount,$A63)+IF($A63="BS-1700",-SUMIFS(IncTax1,IncDocDate,"&lt;="&amp;$E$3,IncDocDate,"&gt;"&amp;$C$3)+SUMIFS(ExpTax1,ExpDocDate,"&lt;="&amp;$E$3,ExpDocDate,"&gt;"&amp;$C$3),0)+IF($A63="BS-1710",-IF(IncTaxCount=2,SUMIFS(IncTax2,IncDocDate,"&lt;="&amp;$E$3,IncDocDate,"&gt;"&amp;$C$3),0)+IF(ExpTaxCount=2,SUMIFS(ExpTax2,ExpDocDate,"&lt;="&amp;$E$3,ExpDocDate,"&gt;"&amp;$C$3),0),0))</f>
        <v>0</v>
      </c>
      <c r="F63" s="34">
        <f t="shared" ca="1" si="1"/>
        <v>262764.55</v>
      </c>
      <c r="G63" s="34" cm="1">
        <f t="array" aca="1" ref="G63" ca="1">IF(LEFT($A63,2)="IS",-SUMIFS(IncExcl,IncDocDate,"&lt;="&amp;$G$3,IncDocDate,"&gt;"&amp;$G$2,IncAccount,$A63)+SUMIFS(ExpExcl,ExpDocDate,"&lt;="&amp;$G$3,ExpDocDate,"&gt;"&amp;$G$2,ExpAccount,$A63),$C63-SUMIFS(IncExcl,IncDocDate,"&lt;="&amp;$G$3,IncDocDate,"&gt;"&amp;$C$3,IncAccount,$A63)+SUMIFS(ExpExcl,ExpDocDate,"&lt;="&amp;$G$3,ExpDocDate,"&gt;"&amp;$C$3,ExpAccount,$A63)+IF($A63="BS-1700",-SUMIFS(IncTax1,IncDocDate,"&lt;="&amp;$G$3,IncDocDate,"&gt;"&amp;$C$3)+SUMIFS(ExpTax1,ExpDocDate,"&lt;="&amp;$G$3,ExpDocDate,"&gt;"&amp;$C$3),0)+IF($A63="BS-1710",-IF(IncTaxCount=2,SUMIFS(IncTax2,IncDocDate,"&lt;="&amp;$G$3,IncDocDate,"&gt;"&amp;$C$3),0)+IF(ExpTaxCount=2,SUMIFS(ExpTax2,ExpDocDate,"&lt;="&amp;$G$3,ExpDocDate,"&gt;"&amp;$C$3),0),0))</f>
        <v>262764.55</v>
      </c>
      <c r="H63" s="35" t="str">
        <f t="shared" si="3"/>
        <v>Account</v>
      </c>
    </row>
    <row r="64" spans="1:8" ht="15.95" customHeight="1" x14ac:dyDescent="0.25">
      <c r="A64" s="12" t="s">
        <v>260</v>
      </c>
      <c r="B64" s="4" t="s">
        <v>261</v>
      </c>
      <c r="E64" s="34" cm="1">
        <f t="array" aca="1" ref="E64" ca="1">IF(LEFT($A64,2)="IS",-SUMIFS(IncExcl,IncDocDate,"&lt;="&amp;$E$3,IncDocDate,"&gt;"&amp;$E$2,IncAccount,$A64)+SUMIFS(ExpExcl,ExpDocDate,"&lt;="&amp;$E$3,ExpDocDate,"&gt;"&amp;$E$2,ExpAccount,$A64),$C64-SUMIFS(IncExcl,IncDocDate,"&lt;="&amp;$E$3,IncDocDate,"&gt;"&amp;$C$3,IncAccount,$A64)+SUMIFS(ExpExcl,ExpDocDate,"&lt;="&amp;$E$3,ExpDocDate,"&gt;"&amp;$C$3,ExpAccount,$A64)+IF($A64="BS-1700",-SUMIFS(IncTax1,IncDocDate,"&lt;="&amp;$E$3,IncDocDate,"&gt;"&amp;$C$3)+SUMIFS(ExpTax1,ExpDocDate,"&lt;="&amp;$E$3,ExpDocDate,"&gt;"&amp;$C$3),0)+IF($A64="BS-1710",-IF(IncTaxCount=2,SUMIFS(IncTax2,IncDocDate,"&lt;="&amp;$E$3,IncDocDate,"&gt;"&amp;$C$3),0)+IF(ExpTaxCount=2,SUMIFS(ExpTax2,ExpDocDate,"&lt;="&amp;$E$3,ExpDocDate,"&gt;"&amp;$C$3),0),0))</f>
        <v>0</v>
      </c>
      <c r="F64" s="34">
        <f t="shared" ca="1" si="1"/>
        <v>0</v>
      </c>
      <c r="G64" s="34" cm="1">
        <f t="array" ref="G64">IF(LEFT($A64,2)="IS",-SUMIFS(IncExcl,IncDocDate,"&lt;="&amp;$G$3,IncDocDate,"&gt;"&amp;$G$2,IncAccount,$A64)+SUMIFS(ExpExcl,ExpDocDate,"&lt;="&amp;$G$3,ExpDocDate,"&gt;"&amp;$G$2,ExpAccount,$A64),$C64-SUMIFS(IncExcl,IncDocDate,"&lt;="&amp;$G$3,IncDocDate,"&gt;"&amp;$C$3,IncAccount,$A64)+SUMIFS(ExpExcl,ExpDocDate,"&lt;="&amp;$G$3,ExpDocDate,"&gt;"&amp;$C$3,ExpAccount,$A64)+IF($A64="BS-1700",-SUMIFS(IncTax1,IncDocDate,"&lt;="&amp;$G$3,IncDocDate,"&gt;"&amp;$C$3)+SUMIFS(ExpTax1,ExpDocDate,"&lt;="&amp;$G$3,ExpDocDate,"&gt;"&amp;$C$3),0)+IF($A64="BS-1710",-IF(IncTaxCount=2,SUMIFS(IncTax2,IncDocDate,"&lt;="&amp;$G$3,IncDocDate,"&gt;"&amp;$C$3),0)+IF(ExpTaxCount=2,SUMIFS(ExpTax2,ExpDocDate,"&lt;="&amp;$G$3,ExpDocDate,"&gt;"&amp;$C$3),0),0))</f>
        <v>0</v>
      </c>
      <c r="H64" s="35" t="str">
        <f t="shared" si="3"/>
        <v>Account</v>
      </c>
    </row>
    <row r="65" spans="1:13" ht="15.95" customHeight="1" x14ac:dyDescent="0.25">
      <c r="A65" s="12" t="s">
        <v>201</v>
      </c>
      <c r="B65" s="4" t="s">
        <v>48</v>
      </c>
      <c r="E65" s="34" cm="1">
        <f t="array" aca="1" ref="E65" ca="1">IF(LEFT($A65,2)="IS",-SUMIFS(IncExcl,IncDocDate,"&lt;="&amp;$E$3,IncDocDate,"&gt;"&amp;$E$2,IncAccount,$A65)+SUMIFS(ExpExcl,ExpDocDate,"&lt;="&amp;$E$3,ExpDocDate,"&gt;"&amp;$E$2,ExpAccount,$A65),$C65-SUMIFS(IncExcl,IncDocDate,"&lt;="&amp;$E$3,IncDocDate,"&gt;"&amp;$C$3,IncAccount,$A65)+SUMIFS(ExpExcl,ExpDocDate,"&lt;="&amp;$E$3,ExpDocDate,"&gt;"&amp;$C$3,ExpAccount,$A65)+IF($A65="BS-1700",-SUMIFS(IncTax1,IncDocDate,"&lt;="&amp;$E$3,IncDocDate,"&gt;"&amp;$C$3)+SUMIFS(ExpTax1,ExpDocDate,"&lt;="&amp;$E$3,ExpDocDate,"&gt;"&amp;$C$3),0)+IF($A65="BS-1710",-IF(IncTaxCount=2,SUMIFS(IncTax2,IncDocDate,"&lt;="&amp;$E$3,IncDocDate,"&gt;"&amp;$C$3),0)+IF(ExpTaxCount=2,SUMIFS(ExpTax2,ExpDocDate,"&lt;="&amp;$E$3,ExpDocDate,"&gt;"&amp;$C$3),0),0))</f>
        <v>0</v>
      </c>
      <c r="F65" s="34">
        <f t="shared" ca="1" si="1"/>
        <v>0</v>
      </c>
      <c r="G65" s="34" cm="1">
        <f t="array" ref="G65">IF(LEFT($A65,2)="IS",-SUMIFS(IncExcl,IncDocDate,"&lt;="&amp;$G$3,IncDocDate,"&gt;"&amp;$G$2,IncAccount,$A65)+SUMIFS(ExpExcl,ExpDocDate,"&lt;="&amp;$G$3,ExpDocDate,"&gt;"&amp;$G$2,ExpAccount,$A65),$C65-SUMIFS(IncExcl,IncDocDate,"&lt;="&amp;$G$3,IncDocDate,"&gt;"&amp;$C$3,IncAccount,$A65)+SUMIFS(ExpExcl,ExpDocDate,"&lt;="&amp;$G$3,ExpDocDate,"&gt;"&amp;$C$3,ExpAccount,$A65)+IF($A65="BS-1700",-SUMIFS(IncTax1,IncDocDate,"&lt;="&amp;$G$3,IncDocDate,"&gt;"&amp;$C$3)+SUMIFS(ExpTax1,ExpDocDate,"&lt;="&amp;$G$3,ExpDocDate,"&gt;"&amp;$C$3),0)+IF($A65="BS-1710",-IF(IncTaxCount=2,SUMIFS(IncTax2,IncDocDate,"&lt;="&amp;$G$3,IncDocDate,"&gt;"&amp;$C$3),0)+IF(ExpTaxCount=2,SUMIFS(ExpTax2,ExpDocDate,"&lt;="&amp;$G$3,ExpDocDate,"&gt;"&amp;$C$3),0),0))</f>
        <v>0</v>
      </c>
      <c r="H65" s="35" t="str">
        <f t="shared" si="3"/>
        <v>Account</v>
      </c>
    </row>
    <row r="66" spans="1:13" ht="15.95" customHeight="1" x14ac:dyDescent="0.25">
      <c r="A66" s="12" t="s">
        <v>202</v>
      </c>
      <c r="B66" s="4" t="s">
        <v>131</v>
      </c>
      <c r="E66" s="34" cm="1">
        <f t="array" aca="1" ref="E66" ca="1">IF(LEFT($A66,2)="IS",-SUMIFS(IncExcl,IncDocDate,"&lt;="&amp;$E$3,IncDocDate,"&gt;"&amp;$E$2,IncAccount,$A66)+SUMIFS(ExpExcl,ExpDocDate,"&lt;="&amp;$E$3,ExpDocDate,"&gt;"&amp;$E$2,ExpAccount,$A66),$C66-SUMIFS(IncExcl,IncDocDate,"&lt;="&amp;$E$3,IncDocDate,"&gt;"&amp;$C$3,IncAccount,$A66)+SUMIFS(ExpExcl,ExpDocDate,"&lt;="&amp;$E$3,ExpDocDate,"&gt;"&amp;$C$3,ExpAccount,$A66)+IF($A66="BS-1700",-SUMIFS(IncTax1,IncDocDate,"&lt;="&amp;$E$3,IncDocDate,"&gt;"&amp;$C$3)+SUMIFS(ExpTax1,ExpDocDate,"&lt;="&amp;$E$3,ExpDocDate,"&gt;"&amp;$C$3),0)+IF($A66="BS-1710",-IF(IncTaxCount=2,SUMIFS(IncTax2,IncDocDate,"&lt;="&amp;$E$3,IncDocDate,"&gt;"&amp;$C$3),0)+IF(ExpTaxCount=2,SUMIFS(ExpTax2,ExpDocDate,"&lt;="&amp;$E$3,ExpDocDate,"&gt;"&amp;$C$3),0),0))</f>
        <v>0</v>
      </c>
      <c r="F66" s="34">
        <f t="shared" ca="1" si="1"/>
        <v>0</v>
      </c>
      <c r="G66" s="34" cm="1">
        <f t="array" ref="G66">IF(LEFT($A66,2)="IS",-SUMIFS(IncExcl,IncDocDate,"&lt;="&amp;$G$3,IncDocDate,"&gt;"&amp;$G$2,IncAccount,$A66)+SUMIFS(ExpExcl,ExpDocDate,"&lt;="&amp;$G$3,ExpDocDate,"&gt;"&amp;$G$2,ExpAccount,$A66),$C66-SUMIFS(IncExcl,IncDocDate,"&lt;="&amp;$G$3,IncDocDate,"&gt;"&amp;$C$3,IncAccount,$A66)+SUMIFS(ExpExcl,ExpDocDate,"&lt;="&amp;$G$3,ExpDocDate,"&gt;"&amp;$C$3,ExpAccount,$A66)+IF($A66="BS-1700",-SUMIFS(IncTax1,IncDocDate,"&lt;="&amp;$G$3,IncDocDate,"&gt;"&amp;$C$3)+SUMIFS(ExpTax1,ExpDocDate,"&lt;="&amp;$G$3,ExpDocDate,"&gt;"&amp;$C$3),0)+IF($A66="BS-1710",-IF(IncTaxCount=2,SUMIFS(IncTax2,IncDocDate,"&lt;="&amp;$G$3,IncDocDate,"&gt;"&amp;$C$3),0)+IF(ExpTaxCount=2,SUMIFS(ExpTax2,ExpDocDate,"&lt;="&amp;$G$3,ExpDocDate,"&gt;"&amp;$C$3),0),0))</f>
        <v>0</v>
      </c>
      <c r="H66" s="35" t="str">
        <f t="shared" si="3"/>
        <v>Account</v>
      </c>
    </row>
    <row r="67" spans="1:13" ht="15.95" customHeight="1" x14ac:dyDescent="0.25">
      <c r="A67" s="12" t="s">
        <v>203</v>
      </c>
      <c r="B67" s="4" t="s">
        <v>29</v>
      </c>
      <c r="E67" s="34" cm="1">
        <f t="array" aca="1" ref="E67" ca="1">IF(LEFT($A67,2)="IS",-SUMIFS(IncExcl,IncDocDate,"&lt;="&amp;$E$3,IncDocDate,"&gt;"&amp;$E$2,IncAccount,$A67)+SUMIFS(ExpExcl,ExpDocDate,"&lt;="&amp;$E$3,ExpDocDate,"&gt;"&amp;$E$2,ExpAccount,$A67),$C67-SUMIFS(IncExcl,IncDocDate,"&lt;="&amp;$E$3,IncDocDate,"&gt;"&amp;$C$3,IncAccount,$A67)+SUMIFS(ExpExcl,ExpDocDate,"&lt;="&amp;$E$3,ExpDocDate,"&gt;"&amp;$C$3,ExpAccount,$A67)+IF($A67="BS-1700",-SUMIFS(IncTax1,IncDocDate,"&lt;="&amp;$E$3,IncDocDate,"&gt;"&amp;$C$3)+SUMIFS(ExpTax1,ExpDocDate,"&lt;="&amp;$E$3,ExpDocDate,"&gt;"&amp;$C$3),0)+IF($A67="BS-1710",-IF(IncTaxCount=2,SUMIFS(IncTax2,IncDocDate,"&lt;="&amp;$E$3,IncDocDate,"&gt;"&amp;$C$3),0)+IF(ExpTaxCount=2,SUMIFS(ExpTax2,ExpDocDate,"&lt;="&amp;$E$3,ExpDocDate,"&gt;"&amp;$C$3),0),0))</f>
        <v>0</v>
      </c>
      <c r="F67" s="34">
        <f t="shared" ca="1" si="1"/>
        <v>0</v>
      </c>
      <c r="G67" s="34" cm="1">
        <f t="array" ref="G67">IF(LEFT($A67,2)="IS",-SUMIFS(IncExcl,IncDocDate,"&lt;="&amp;$G$3,IncDocDate,"&gt;"&amp;$G$2,IncAccount,$A67)+SUMIFS(ExpExcl,ExpDocDate,"&lt;="&amp;$G$3,ExpDocDate,"&gt;"&amp;$G$2,ExpAccount,$A67),$C67-SUMIFS(IncExcl,IncDocDate,"&lt;="&amp;$G$3,IncDocDate,"&gt;"&amp;$C$3,IncAccount,$A67)+SUMIFS(ExpExcl,ExpDocDate,"&lt;="&amp;$G$3,ExpDocDate,"&gt;"&amp;$C$3,ExpAccount,$A67)+IF($A67="BS-1700",-SUMIFS(IncTax1,IncDocDate,"&lt;="&amp;$G$3,IncDocDate,"&gt;"&amp;$C$3)+SUMIFS(ExpTax1,ExpDocDate,"&lt;="&amp;$G$3,ExpDocDate,"&gt;"&amp;$C$3),0)+IF($A67="BS-1710",-IF(IncTaxCount=2,SUMIFS(IncTax2,IncDocDate,"&lt;="&amp;$G$3,IncDocDate,"&gt;"&amp;$C$3),0)+IF(ExpTaxCount=2,SUMIFS(ExpTax2,ExpDocDate,"&lt;="&amp;$G$3,ExpDocDate,"&gt;"&amp;$C$3),0),0))</f>
        <v>0</v>
      </c>
      <c r="H67" s="35" t="str">
        <f t="shared" si="3"/>
        <v>Group</v>
      </c>
    </row>
    <row r="68" spans="1:13" ht="15.95" customHeight="1" x14ac:dyDescent="0.25">
      <c r="A68" s="12" t="s">
        <v>204</v>
      </c>
      <c r="B68" s="4" t="s">
        <v>30</v>
      </c>
      <c r="E68" s="34" cm="1">
        <f t="array" aca="1" ref="E68" ca="1">IF(LEFT($A68,2)="IS",-SUMIFS(IncExcl,IncDocDate,"&lt;="&amp;$E$3,IncDocDate,"&gt;"&amp;$E$2,IncAccount,$A68)+SUMIFS(ExpExcl,ExpDocDate,"&lt;="&amp;$E$3,ExpDocDate,"&gt;"&amp;$E$2,ExpAccount,$A68),$C68-SUMIFS(IncExcl,IncDocDate,"&lt;="&amp;$E$3,IncDocDate,"&gt;"&amp;$C$3,IncAccount,$A68)+SUMIFS(ExpExcl,ExpDocDate,"&lt;="&amp;$E$3,ExpDocDate,"&gt;"&amp;$C$3,ExpAccount,$A68)+IF($A68="BS-1700",-SUMIFS(IncTax1,IncDocDate,"&lt;="&amp;$E$3,IncDocDate,"&gt;"&amp;$C$3)+SUMIFS(ExpTax1,ExpDocDate,"&lt;="&amp;$E$3,ExpDocDate,"&gt;"&amp;$C$3),0)+IF($A68="BS-1710",-IF(IncTaxCount=2,SUMIFS(IncTax2,IncDocDate,"&lt;="&amp;$E$3,IncDocDate,"&gt;"&amp;$C$3),0)+IF(ExpTaxCount=2,SUMIFS(ExpTax2,ExpDocDate,"&lt;="&amp;$E$3,ExpDocDate,"&gt;"&amp;$C$3),0),0))</f>
        <v>0</v>
      </c>
      <c r="F68" s="34">
        <f t="shared" ca="1" si="1"/>
        <v>0</v>
      </c>
      <c r="G68" s="34" cm="1">
        <f t="array" ref="G68">IF(LEFT($A68,2)="IS",-SUMIFS(IncExcl,IncDocDate,"&lt;="&amp;$G$3,IncDocDate,"&gt;"&amp;$G$2,IncAccount,$A68)+SUMIFS(ExpExcl,ExpDocDate,"&lt;="&amp;$G$3,ExpDocDate,"&gt;"&amp;$G$2,ExpAccount,$A68),$C68-SUMIFS(IncExcl,IncDocDate,"&lt;="&amp;$G$3,IncDocDate,"&gt;"&amp;$C$3,IncAccount,$A68)+SUMIFS(ExpExcl,ExpDocDate,"&lt;="&amp;$G$3,ExpDocDate,"&gt;"&amp;$C$3,ExpAccount,$A68)+IF($A68="BS-1700",-SUMIFS(IncTax1,IncDocDate,"&lt;="&amp;$G$3,IncDocDate,"&gt;"&amp;$C$3)+SUMIFS(ExpTax1,ExpDocDate,"&lt;="&amp;$G$3,ExpDocDate,"&gt;"&amp;$C$3),0)+IF($A68="BS-1710",-IF(IncTaxCount=2,SUMIFS(IncTax2,IncDocDate,"&lt;="&amp;$G$3,IncDocDate,"&gt;"&amp;$C$3),0)+IF(ExpTaxCount=2,SUMIFS(ExpTax2,ExpDocDate,"&lt;="&amp;$G$3,ExpDocDate,"&gt;"&amp;$C$3),0),0))</f>
        <v>0</v>
      </c>
      <c r="H68" s="35" t="str">
        <f t="shared" si="3"/>
        <v>Group</v>
      </c>
    </row>
    <row r="69" spans="1:13" ht="15.95" customHeight="1" x14ac:dyDescent="0.25">
      <c r="A69" s="12" t="s">
        <v>205</v>
      </c>
      <c r="B69" s="4" t="s">
        <v>39</v>
      </c>
      <c r="E69" s="34" cm="1">
        <f t="array" aca="1" ref="E69" ca="1">IF(LEFT($A69,2)="IS",-SUMIFS(IncExcl,IncDocDate,"&lt;="&amp;$E$3,IncDocDate,"&gt;"&amp;$E$2,IncAccount,$A69)+SUMIFS(ExpExcl,ExpDocDate,"&lt;="&amp;$E$3,ExpDocDate,"&gt;"&amp;$E$2,ExpAccount,$A69),$C69-SUMIFS(IncExcl,IncDocDate,"&lt;="&amp;$E$3,IncDocDate,"&gt;"&amp;$C$3,IncAccount,$A69)+SUMIFS(ExpExcl,ExpDocDate,"&lt;="&amp;$E$3,ExpDocDate,"&gt;"&amp;$C$3,ExpAccount,$A69)+IF($A69="BS-1700",-SUMIFS(IncTax1,IncDocDate,"&lt;="&amp;$E$3,IncDocDate,"&gt;"&amp;$C$3)+SUMIFS(ExpTax1,ExpDocDate,"&lt;="&amp;$E$3,ExpDocDate,"&gt;"&amp;$C$3),0)+IF($A69="BS-1710",-IF(IncTaxCount=2,SUMIFS(IncTax2,IncDocDate,"&lt;="&amp;$E$3,IncDocDate,"&gt;"&amp;$C$3),0)+IF(ExpTaxCount=2,SUMIFS(ExpTax2,ExpDocDate,"&lt;="&amp;$E$3,ExpDocDate,"&gt;"&amp;$C$3),0),0))</f>
        <v>0</v>
      </c>
      <c r="F69" s="34">
        <f t="shared" ca="1" si="1"/>
        <v>3400000</v>
      </c>
      <c r="G69" s="34" cm="1">
        <f t="array" aca="1" ref="G69" ca="1">IF(LEFT($A69,2)="IS",-SUMIFS(IncExcl,IncDocDate,"&lt;="&amp;$G$3,IncDocDate,"&gt;"&amp;$G$2,IncAccount,$A69)+SUMIFS(ExpExcl,ExpDocDate,"&lt;="&amp;$G$3,ExpDocDate,"&gt;"&amp;$G$2,ExpAccount,$A69),$C69-SUMIFS(IncExcl,IncDocDate,"&lt;="&amp;$G$3,IncDocDate,"&gt;"&amp;$C$3,IncAccount,$A69)+SUMIFS(ExpExcl,ExpDocDate,"&lt;="&amp;$G$3,ExpDocDate,"&gt;"&amp;$C$3,ExpAccount,$A69)+IF($A69="BS-1700",-SUMIFS(IncTax1,IncDocDate,"&lt;="&amp;$G$3,IncDocDate,"&gt;"&amp;$C$3)+SUMIFS(ExpTax1,ExpDocDate,"&lt;="&amp;$G$3,ExpDocDate,"&gt;"&amp;$C$3),0)+IF($A69="BS-1710",-IF(IncTaxCount=2,SUMIFS(IncTax2,IncDocDate,"&lt;="&amp;$G$3,IncDocDate,"&gt;"&amp;$C$3),0)+IF(ExpTaxCount=2,SUMIFS(ExpTax2,ExpDocDate,"&lt;="&amp;$G$3,ExpDocDate,"&gt;"&amp;$C$3),0),0))</f>
        <v>3400000</v>
      </c>
      <c r="H69" s="35" t="str">
        <f t="shared" si="3"/>
        <v>Group</v>
      </c>
    </row>
    <row r="70" spans="1:13" ht="15.95" customHeight="1" x14ac:dyDescent="0.25">
      <c r="A70" s="12" t="s">
        <v>206</v>
      </c>
      <c r="B70" s="4" t="s">
        <v>133</v>
      </c>
      <c r="E70" s="34" cm="1">
        <f t="array" aca="1" ref="E70" ca="1">IF(LEFT($A70,2)="IS",-SUMIFS(IncExcl,IncDocDate,"&lt;="&amp;$E$3,IncDocDate,"&gt;"&amp;$E$2,IncAccount,$A70)+SUMIFS(ExpExcl,ExpDocDate,"&lt;="&amp;$E$3,ExpDocDate,"&gt;"&amp;$E$2,ExpAccount,$A70),$C70-SUMIFS(IncExcl,IncDocDate,"&lt;="&amp;$E$3,IncDocDate,"&gt;"&amp;$C$3,IncAccount,$A70)+SUMIFS(ExpExcl,ExpDocDate,"&lt;="&amp;$E$3,ExpDocDate,"&gt;"&amp;$C$3,ExpAccount,$A70)+IF($A70="BS-1700",-SUMIFS(IncTax1,IncDocDate,"&lt;="&amp;$E$3,IncDocDate,"&gt;"&amp;$C$3)+SUMIFS(ExpTax1,ExpDocDate,"&lt;="&amp;$E$3,ExpDocDate,"&gt;"&amp;$C$3),0)+IF($A70="BS-1710",-IF(IncTaxCount=2,SUMIFS(IncTax2,IncDocDate,"&lt;="&amp;$E$3,IncDocDate,"&gt;"&amp;$C$3),0)+IF(ExpTaxCount=2,SUMIFS(ExpTax2,ExpDocDate,"&lt;="&amp;$E$3,ExpDocDate,"&gt;"&amp;$C$3),0),0))</f>
        <v>0</v>
      </c>
      <c r="F70" s="34">
        <f t="shared" ca="1" si="1"/>
        <v>0</v>
      </c>
      <c r="G70" s="34" cm="1">
        <f t="array" ref="G70">IF(LEFT($A70,2)="IS",-SUMIFS(IncExcl,IncDocDate,"&lt;="&amp;$G$3,IncDocDate,"&gt;"&amp;$G$2,IncAccount,$A70)+SUMIFS(ExpExcl,ExpDocDate,"&lt;="&amp;$G$3,ExpDocDate,"&gt;"&amp;$G$2,ExpAccount,$A70),$C70-SUMIFS(IncExcl,IncDocDate,"&lt;="&amp;$G$3,IncDocDate,"&gt;"&amp;$C$3,IncAccount,$A70)+SUMIFS(ExpExcl,ExpDocDate,"&lt;="&amp;$G$3,ExpDocDate,"&gt;"&amp;$C$3,ExpAccount,$A70)+IF($A70="BS-1700",-SUMIFS(IncTax1,IncDocDate,"&lt;="&amp;$G$3,IncDocDate,"&gt;"&amp;$C$3)+SUMIFS(ExpTax1,ExpDocDate,"&lt;="&amp;$G$3,ExpDocDate,"&gt;"&amp;$C$3),0)+IF($A70="BS-1710",-IF(IncTaxCount=2,SUMIFS(IncTax2,IncDocDate,"&lt;="&amp;$G$3,IncDocDate,"&gt;"&amp;$C$3),0)+IF(ExpTaxCount=2,SUMIFS(ExpTax2,ExpDocDate,"&lt;="&amp;$G$3,ExpDocDate,"&gt;"&amp;$C$3),0),0))</f>
        <v>0</v>
      </c>
      <c r="H70" s="35" t="str">
        <f t="shared" si="3"/>
        <v>Group</v>
      </c>
    </row>
    <row r="71" spans="1:13" ht="15.95" customHeight="1" x14ac:dyDescent="0.25">
      <c r="A71" s="12" t="s">
        <v>207</v>
      </c>
      <c r="B71" s="4" t="s">
        <v>134</v>
      </c>
      <c r="E71" s="34" cm="1">
        <f t="array" aca="1" ref="E71" ca="1">IF(LEFT($A71,2)="IS",-SUMIFS(IncExcl,IncDocDate,"&lt;="&amp;$E$3,IncDocDate,"&gt;"&amp;$E$2,IncAccount,$A71)+SUMIFS(ExpExcl,ExpDocDate,"&lt;="&amp;$E$3,ExpDocDate,"&gt;"&amp;$E$2,ExpAccount,$A71),$C71-SUMIFS(IncExcl,IncDocDate,"&lt;="&amp;$E$3,IncDocDate,"&gt;"&amp;$C$3,IncAccount,$A71)+SUMIFS(ExpExcl,ExpDocDate,"&lt;="&amp;$E$3,ExpDocDate,"&gt;"&amp;$C$3,ExpAccount,$A71)+IF($A71="BS-1700",-SUMIFS(IncTax1,IncDocDate,"&lt;="&amp;$E$3,IncDocDate,"&gt;"&amp;$C$3)+SUMIFS(ExpTax1,ExpDocDate,"&lt;="&amp;$E$3,ExpDocDate,"&gt;"&amp;$C$3),0)+IF($A71="BS-1710",-IF(IncTaxCount=2,SUMIFS(IncTax2,IncDocDate,"&lt;="&amp;$E$3,IncDocDate,"&gt;"&amp;$C$3),0)+IF(ExpTaxCount=2,SUMIFS(ExpTax2,ExpDocDate,"&lt;="&amp;$E$3,ExpDocDate,"&gt;"&amp;$C$3),0),0))</f>
        <v>0</v>
      </c>
      <c r="F71" s="34">
        <f t="shared" ca="1" si="1"/>
        <v>0</v>
      </c>
      <c r="G71" s="34" cm="1">
        <f t="array" ref="G71">IF(LEFT($A71,2)="IS",-SUMIFS(IncExcl,IncDocDate,"&lt;="&amp;$G$3,IncDocDate,"&gt;"&amp;$G$2,IncAccount,$A71)+SUMIFS(ExpExcl,ExpDocDate,"&lt;="&amp;$G$3,ExpDocDate,"&gt;"&amp;$G$2,ExpAccount,$A71),$C71-SUMIFS(IncExcl,IncDocDate,"&lt;="&amp;$G$3,IncDocDate,"&gt;"&amp;$C$3,IncAccount,$A71)+SUMIFS(ExpExcl,ExpDocDate,"&lt;="&amp;$G$3,ExpDocDate,"&gt;"&amp;$C$3,ExpAccount,$A71)+IF($A71="BS-1700",-SUMIFS(IncTax1,IncDocDate,"&lt;="&amp;$G$3,IncDocDate,"&gt;"&amp;$C$3)+SUMIFS(ExpTax1,ExpDocDate,"&lt;="&amp;$G$3,ExpDocDate,"&gt;"&amp;$C$3),0)+IF($A71="BS-1710",-IF(IncTaxCount=2,SUMIFS(IncTax2,IncDocDate,"&lt;="&amp;$G$3,IncDocDate,"&gt;"&amp;$C$3),0)+IF(ExpTaxCount=2,SUMIFS(ExpTax2,ExpDocDate,"&lt;="&amp;$G$3,ExpDocDate,"&gt;"&amp;$C$3),0),0))</f>
        <v>0</v>
      </c>
      <c r="H71" s="35" t="str">
        <f t="shared" si="3"/>
        <v>Group</v>
      </c>
    </row>
    <row r="72" spans="1:13" ht="15.95" customHeight="1" x14ac:dyDescent="0.25">
      <c r="A72" s="12" t="s">
        <v>208</v>
      </c>
      <c r="B72" s="4" t="s">
        <v>12</v>
      </c>
      <c r="E72" s="34" cm="1">
        <f t="array" aca="1" ref="E72" ca="1">IF(LEFT($A72,2)="IS",-SUMIFS(IncExcl,IncDocDate,"&lt;="&amp;$E$3,IncDocDate,"&gt;"&amp;$E$2,IncAccount,$A72)+SUMIFS(ExpExcl,ExpDocDate,"&lt;="&amp;$E$3,ExpDocDate,"&gt;"&amp;$E$2,ExpAccount,$A72),$C72-SUMIFS(IncExcl,IncDocDate,"&lt;="&amp;$E$3,IncDocDate,"&gt;"&amp;$C$3,IncAccount,$A72)+SUMIFS(ExpExcl,ExpDocDate,"&lt;="&amp;$E$3,ExpDocDate,"&gt;"&amp;$C$3,ExpAccount,$A72)+IF($A72="BS-1700",-SUMIFS(IncTax1,IncDocDate,"&lt;="&amp;$E$3,IncDocDate,"&gt;"&amp;$C$3)+SUMIFS(ExpTax1,ExpDocDate,"&lt;="&amp;$E$3,ExpDocDate,"&gt;"&amp;$C$3),0)+IF($A72="BS-1710",-IF(IncTaxCount=2,SUMIFS(IncTax2,IncDocDate,"&lt;="&amp;$E$3,IncDocDate,"&gt;"&amp;$C$3),0)+IF(ExpTaxCount=2,SUMIFS(ExpTax2,ExpDocDate,"&lt;="&amp;$E$3,ExpDocDate,"&gt;"&amp;$C$3),0),0))</f>
        <v>0</v>
      </c>
      <c r="F72" s="34">
        <f t="shared" ca="1" si="1"/>
        <v>0</v>
      </c>
      <c r="G72" s="34" cm="1">
        <f t="array" ref="G72">IF(LEFT($A72,2)="IS",-SUMIFS(IncExcl,IncDocDate,"&lt;="&amp;$G$3,IncDocDate,"&gt;"&amp;$G$2,IncAccount,$A72)+SUMIFS(ExpExcl,ExpDocDate,"&lt;="&amp;$G$3,ExpDocDate,"&gt;"&amp;$G$2,ExpAccount,$A72),$C72-SUMIFS(IncExcl,IncDocDate,"&lt;="&amp;$G$3,IncDocDate,"&gt;"&amp;$C$3,IncAccount,$A72)+SUMIFS(ExpExcl,ExpDocDate,"&lt;="&amp;$G$3,ExpDocDate,"&gt;"&amp;$C$3,ExpAccount,$A72)+IF($A72="BS-1700",-SUMIFS(IncTax1,IncDocDate,"&lt;="&amp;$G$3,IncDocDate,"&gt;"&amp;$C$3)+SUMIFS(ExpTax1,ExpDocDate,"&lt;="&amp;$G$3,ExpDocDate,"&gt;"&amp;$C$3),0)+IF($A72="BS-1710",-IF(IncTaxCount=2,SUMIFS(IncTax2,IncDocDate,"&lt;="&amp;$G$3,IncDocDate,"&gt;"&amp;$C$3),0)+IF(ExpTaxCount=2,SUMIFS(ExpTax2,ExpDocDate,"&lt;="&amp;$G$3,ExpDocDate,"&gt;"&amp;$C$3),0),0))</f>
        <v>0</v>
      </c>
      <c r="H72" s="35" t="str">
        <f t="shared" si="3"/>
        <v>Group</v>
      </c>
    </row>
    <row r="73" spans="1:13" ht="15.95" customHeight="1" x14ac:dyDescent="0.25">
      <c r="A73" s="12" t="s">
        <v>209</v>
      </c>
      <c r="B73" s="4" t="s">
        <v>132</v>
      </c>
      <c r="E73" s="34" cm="1">
        <f t="array" aca="1" ref="E73" ca="1">IF(LEFT($A73,2)="IS",-SUMIFS(IncExcl,IncDocDate,"&lt;="&amp;$E$3,IncDocDate,"&gt;"&amp;$E$2,IncAccount,$A73)+SUMIFS(ExpExcl,ExpDocDate,"&lt;="&amp;$E$3,ExpDocDate,"&gt;"&amp;$E$2,ExpAccount,$A73),$C73-SUMIFS(IncExcl,IncDocDate,"&lt;="&amp;$E$3,IncDocDate,"&gt;"&amp;$C$3,IncAccount,$A73)+SUMIFS(ExpExcl,ExpDocDate,"&lt;="&amp;$E$3,ExpDocDate,"&gt;"&amp;$C$3,ExpAccount,$A73)+IF($A73="BS-1700",-SUMIFS(IncTax1,IncDocDate,"&lt;="&amp;$E$3,IncDocDate,"&gt;"&amp;$C$3)+SUMIFS(ExpTax1,ExpDocDate,"&lt;="&amp;$E$3,ExpDocDate,"&gt;"&amp;$C$3),0)+IF($A73="BS-1710",-IF(IncTaxCount=2,SUMIFS(IncTax2,IncDocDate,"&lt;="&amp;$E$3,IncDocDate,"&gt;"&amp;$C$3),0)+IF(ExpTaxCount=2,SUMIFS(ExpTax2,ExpDocDate,"&lt;="&amp;$E$3,ExpDocDate,"&gt;"&amp;$C$3),0),0))</f>
        <v>0</v>
      </c>
      <c r="F73" s="34">
        <f t="shared" ref="F73" ca="1" si="4">G73-E73</f>
        <v>0</v>
      </c>
      <c r="G73" s="34" cm="1">
        <f t="array" ref="G73">IF(LEFT($A73,2)="IS",-SUMIFS(IncExcl,IncDocDate,"&lt;="&amp;$G$3,IncDocDate,"&gt;"&amp;$G$2,IncAccount,$A73)+SUMIFS(ExpExcl,ExpDocDate,"&lt;="&amp;$G$3,ExpDocDate,"&gt;"&amp;$G$2,ExpAccount,$A73),$C73-SUMIFS(IncExcl,IncDocDate,"&lt;="&amp;$G$3,IncDocDate,"&gt;"&amp;$C$3,IncAccount,$A73)+SUMIFS(ExpExcl,ExpDocDate,"&lt;="&amp;$G$3,ExpDocDate,"&gt;"&amp;$C$3,ExpAccount,$A73)+IF($A73="BS-1700",-SUMIFS(IncTax1,IncDocDate,"&lt;="&amp;$G$3,IncDocDate,"&gt;"&amp;$C$3)+SUMIFS(ExpTax1,ExpDocDate,"&lt;="&amp;$G$3,ExpDocDate,"&gt;"&amp;$C$3),0)+IF($A73="BS-1710",-IF(IncTaxCount=2,SUMIFS(IncTax2,IncDocDate,"&lt;="&amp;$G$3,IncDocDate,"&gt;"&amp;$C$3),0)+IF(ExpTaxCount=2,SUMIFS(ExpTax2,ExpDocDate,"&lt;="&amp;$G$3,ExpDocDate,"&gt;"&amp;$C$3),0),0))</f>
        <v>0</v>
      </c>
      <c r="H73" s="35" t="str">
        <f t="shared" si="3"/>
        <v>Group</v>
      </c>
    </row>
    <row r="74" spans="1:13" s="52" customFormat="1" ht="15.95" customHeight="1" x14ac:dyDescent="0.2">
      <c r="A74" s="51" t="s">
        <v>389</v>
      </c>
      <c r="C74" s="53"/>
      <c r="E74" s="53"/>
      <c r="F74" s="53"/>
      <c r="G74" s="53"/>
      <c r="H74" s="54"/>
      <c r="J74" s="54"/>
    </row>
    <row r="75" spans="1:13" ht="15.95" customHeight="1" x14ac:dyDescent="0.25">
      <c r="J75" s="55"/>
    </row>
    <row r="76" spans="1:13" ht="15.95" customHeight="1" x14ac:dyDescent="0.25">
      <c r="A76" s="56" t="s">
        <v>44</v>
      </c>
      <c r="J76" s="35"/>
      <c r="K76" s="35"/>
      <c r="L76" s="35"/>
    </row>
    <row r="77" spans="1:13" ht="15.95" customHeight="1" x14ac:dyDescent="0.25">
      <c r="A77" s="12" t="str">
        <f ca="1">"BS-B"&amp;H77</f>
        <v>BS-BB1</v>
      </c>
      <c r="B77" s="4" t="str">
        <f t="shared" ref="B77:B94" ca="1" si="5">IF(ISNA(VLOOKUP($H77,BankAll,2,0))=TRUE,"Bank Account",VLOOKUP($H77,BankAll,2,0))</f>
        <v>HQ</v>
      </c>
      <c r="C77" s="57">
        <f ca="1">SUMIFS(IncPayAmount,IncPayDate,"&lt;"&amp;Setup!$D$16,IncPayDate,"&lt;&gt;""",IncBank,$H77)-SUMIFS(ExpIncl,ExpPayDate,"&lt;"&amp;Setup!$D$16,ExpPayDate,"&lt;&gt;""",ExpBank,$H77)</f>
        <v>4248291.34</v>
      </c>
      <c r="E77" s="34">
        <f t="shared" ref="E77:E94" ca="1" si="6">SUMIFS(IncPayAmount,IncPayDate,"&lt;="&amp;$E$3,IncPayDate,"&lt;&gt;""",IncBank,$H77)-SUMIFS(ExpIncl,ExpPayDate,"&lt;="&amp;$E$3,ExpPayDate,"&lt;&gt;""",ExpBank,$H77)</f>
        <v>4248291.34</v>
      </c>
      <c r="F77" s="34">
        <f ca="1">G77-E77</f>
        <v>-1140984.92</v>
      </c>
      <c r="G77" s="34">
        <f t="shared" ref="G77:G94" ca="1" si="7">SUMIFS(IncPayAmount,IncPayDate,"&lt;="&amp;$G$3,IncPayDate,"&lt;&gt;""",IncBank,$H77)-SUMIFS(ExpIncl,ExpPayDate,"&lt;="&amp;$G$3,ExpPayDate,"&lt;&gt;""",ExpBank,$H77)</f>
        <v>3107306.42</v>
      </c>
      <c r="H77" s="24" t="str">
        <f ca="1">OFFSET(Setup!$A$32,1+ROW($A77)-ROW($A$77),0,1,1)</f>
        <v>B1</v>
      </c>
      <c r="K77" s="55"/>
      <c r="L77" s="55"/>
      <c r="M77" s="55"/>
    </row>
    <row r="78" spans="1:13" ht="15.95" customHeight="1" x14ac:dyDescent="0.25">
      <c r="A78" s="12" t="str">
        <f t="shared" ref="A78" ca="1" si="8">"BS-B"&amp;H78</f>
        <v>BS-BB2</v>
      </c>
      <c r="B78" s="4" t="str">
        <f t="shared" ca="1" si="5"/>
        <v>SONGEA</v>
      </c>
      <c r="C78" s="57">
        <f ca="1">SUMIFS(IncPayAmount,IncPayDate,"&lt;"&amp;Setup!$D$16,IncPayDate,"&lt;&gt;""",IncBank,$H78)-SUMIFS(ExpIncl,ExpPayDate,"&lt;"&amp;Setup!$D$16,ExpPayDate,"&lt;&gt;""",ExpBank,$H78)</f>
        <v>0</v>
      </c>
      <c r="E78" s="34">
        <f t="shared" ca="1" si="6"/>
        <v>0</v>
      </c>
      <c r="F78" s="34">
        <f t="shared" ref="F78" ca="1" si="9">G78-E78</f>
        <v>0</v>
      </c>
      <c r="G78" s="34">
        <f t="shared" ca="1" si="7"/>
        <v>0</v>
      </c>
      <c r="H78" s="24" t="str">
        <f ca="1">OFFSET(Setup!$A$32,1+ROW($A78)-ROW($A$77),0,1,1)</f>
        <v>B2</v>
      </c>
      <c r="K78" s="55"/>
      <c r="L78" s="55"/>
      <c r="M78" s="55"/>
    </row>
    <row r="79" spans="1:13" ht="15.95" customHeight="1" x14ac:dyDescent="0.25">
      <c r="A79" s="12" t="str">
        <f t="shared" ref="A79" ca="1" si="10">"BS-B"&amp;H79</f>
        <v>BS-BB3</v>
      </c>
      <c r="B79" s="4" t="str">
        <f t="shared" ca="1" si="5"/>
        <v>IRINGA AKIBA HOUSE</v>
      </c>
      <c r="C79" s="57">
        <f ca="1">SUMIFS(IncPayAmount,IncPayDate,"&lt;"&amp;Setup!$D$16,IncPayDate,"&lt;&gt;""",IncBank,$H79)-SUMIFS(ExpIncl,ExpPayDate,"&lt;"&amp;Setup!$D$16,ExpPayDate,"&lt;&gt;""",ExpBank,$H79)</f>
        <v>2794567.2</v>
      </c>
      <c r="E79" s="34">
        <f t="shared" ca="1" si="6"/>
        <v>2794567.2</v>
      </c>
      <c r="F79" s="34">
        <f t="shared" ref="F79" ca="1" si="11">G79-E79</f>
        <v>11583791.199999999</v>
      </c>
      <c r="G79" s="34">
        <f t="shared" ca="1" si="7"/>
        <v>14378358.4</v>
      </c>
      <c r="H79" s="24" t="str">
        <f ca="1">OFFSET(Setup!$A$32,1+ROW($A79)-ROW($A$77),0,1,1)</f>
        <v>B3</v>
      </c>
      <c r="K79" s="55"/>
      <c r="L79" s="55"/>
      <c r="M79" s="55"/>
    </row>
    <row r="80" spans="1:13" ht="15.95" customHeight="1" x14ac:dyDescent="0.25">
      <c r="A80" s="12" t="str">
        <f t="shared" ref="A80" ca="1" si="12">"BS-B"&amp;H80</f>
        <v>BS-BB4</v>
      </c>
      <c r="B80" s="4" t="str">
        <f t="shared" ca="1" si="5"/>
        <v>MASAKI</v>
      </c>
      <c r="C80" s="57">
        <f ca="1">SUMIFS(IncPayAmount,IncPayDate,"&lt;"&amp;Setup!$D$16,IncPayDate,"&lt;&gt;""",IncBank,$H80)-SUMIFS(ExpIncl,ExpPayDate,"&lt;"&amp;Setup!$D$16,ExpPayDate,"&lt;&gt;""",ExpBank,$H80)</f>
        <v>0</v>
      </c>
      <c r="E80" s="34">
        <f t="shared" ca="1" si="6"/>
        <v>0</v>
      </c>
      <c r="F80" s="34">
        <f t="shared" ref="F80" ca="1" si="13">G80-E80</f>
        <v>0</v>
      </c>
      <c r="G80" s="34">
        <f t="shared" ca="1" si="7"/>
        <v>0</v>
      </c>
      <c r="H80" s="24" t="str">
        <f ca="1">OFFSET(Setup!$A$32,1+ROW($A80)-ROW($A$77),0,1,1)</f>
        <v>B4</v>
      </c>
      <c r="K80" s="55"/>
      <c r="L80" s="55"/>
      <c r="M80" s="55"/>
    </row>
    <row r="81" spans="1:13" ht="15.95" customHeight="1" x14ac:dyDescent="0.25">
      <c r="A81" s="12" t="str">
        <f t="shared" ref="A81:A94" ca="1" si="14">"BS-B"&amp;H81</f>
        <v>BS-BB5</v>
      </c>
      <c r="B81" s="4" t="str">
        <f t="shared" ca="1" si="5"/>
        <v>KIJITONYAMA</v>
      </c>
      <c r="C81" s="57">
        <f ca="1">SUMIFS(IncPayAmount,IncPayDate,"&lt;"&amp;Setup!$D$16,IncPayDate,"&lt;&gt;""",IncBank,$H81)-SUMIFS(ExpIncl,ExpPayDate,"&lt;"&amp;Setup!$D$16,ExpPayDate,"&lt;&gt;""",ExpBank,$H81)</f>
        <v>0</v>
      </c>
      <c r="E81" s="34">
        <f t="shared" ca="1" si="6"/>
        <v>0</v>
      </c>
      <c r="F81" s="34">
        <f t="shared" ref="F81" ca="1" si="15">G81-E81</f>
        <v>0</v>
      </c>
      <c r="G81" s="34">
        <f t="shared" ca="1" si="7"/>
        <v>0</v>
      </c>
      <c r="H81" s="24" t="str">
        <f ca="1">OFFSET(Setup!$A$32,1+ROW($A81)-ROW($A$77),0,1,1)</f>
        <v>B5</v>
      </c>
      <c r="K81" s="55"/>
      <c r="L81" s="55"/>
      <c r="M81" s="55"/>
    </row>
    <row r="82" spans="1:13" ht="15.95" customHeight="1" x14ac:dyDescent="0.25">
      <c r="A82" s="12" t="str">
        <f t="shared" ca="1" si="14"/>
        <v>BS-BB6</v>
      </c>
      <c r="B82" s="4" t="str">
        <f t="shared" ca="1" si="5"/>
        <v>KALOLENI</v>
      </c>
      <c r="C82" s="57">
        <f ca="1">SUMIFS(IncPayAmount,IncPayDate,"&lt;"&amp;Setup!$D$16,IncPayDate,"&lt;&gt;""",IncBank,$H82)-SUMIFS(ExpIncl,ExpPayDate,"&lt;"&amp;Setup!$D$16,ExpPayDate,"&lt;&gt;""",ExpBank,$H82)</f>
        <v>0</v>
      </c>
      <c r="E82" s="34">
        <f t="shared" ca="1" si="6"/>
        <v>0</v>
      </c>
      <c r="F82" s="34">
        <f t="shared" ref="F82:F92" ca="1" si="16">G82-E82</f>
        <v>0</v>
      </c>
      <c r="G82" s="34">
        <f t="shared" ca="1" si="7"/>
        <v>0</v>
      </c>
      <c r="H82" s="24" t="str">
        <f ca="1">OFFSET(Setup!$A$32,1+ROW($A82)-ROW($A$77),0,1,1)</f>
        <v>B6</v>
      </c>
      <c r="K82" s="55"/>
      <c r="L82" s="55"/>
      <c r="M82" s="55"/>
    </row>
    <row r="83" spans="1:13" ht="15.95" customHeight="1" x14ac:dyDescent="0.25">
      <c r="A83" s="12" t="str">
        <f t="shared" ca="1" si="14"/>
        <v>BS-BB7</v>
      </c>
      <c r="B83" s="4" t="str">
        <f t="shared" ca="1" si="5"/>
        <v>OSHA DODOMA</v>
      </c>
      <c r="C83" s="57">
        <f ca="1">SUMIFS(IncPayAmount,IncPayDate,"&lt;"&amp;Setup!$D$16,IncPayDate,"&lt;&gt;""",IncBank,$H83)-SUMIFS(ExpIncl,ExpPayDate,"&lt;"&amp;Setup!$D$16,ExpPayDate,"&lt;&gt;""",ExpBank,$H83)</f>
        <v>0</v>
      </c>
      <c r="E83" s="34">
        <f t="shared" ca="1" si="6"/>
        <v>0</v>
      </c>
      <c r="F83" s="34">
        <f t="shared" ca="1" si="16"/>
        <v>0</v>
      </c>
      <c r="G83" s="34">
        <f t="shared" ca="1" si="7"/>
        <v>0</v>
      </c>
      <c r="H83" s="24" t="str">
        <f ca="1">OFFSET(Setup!$A$32,1+ROW($A83)-ROW($A$77),0,1,1)</f>
        <v>B7</v>
      </c>
      <c r="K83" s="55"/>
      <c r="L83" s="55"/>
      <c r="M83" s="55"/>
    </row>
    <row r="84" spans="1:13" ht="15.95" customHeight="1" x14ac:dyDescent="0.25">
      <c r="A84" s="12" t="str">
        <f t="shared" ca="1" si="14"/>
        <v>BS-BB8</v>
      </c>
      <c r="B84" s="4" t="str">
        <f t="shared" ca="1" si="5"/>
        <v>MIKOCHENI</v>
      </c>
      <c r="C84" s="57">
        <f ca="1">SUMIFS(IncPayAmount,IncPayDate,"&lt;"&amp;Setup!$D$16,IncPayDate,"&lt;&gt;""",IncBank,$H84)-SUMIFS(ExpIncl,ExpPayDate,"&lt;"&amp;Setup!$D$16,ExpPayDate,"&lt;&gt;""",ExpBank,$H84)</f>
        <v>0</v>
      </c>
      <c r="E84" s="34">
        <f t="shared" ca="1" si="6"/>
        <v>0</v>
      </c>
      <c r="F84" s="34">
        <f t="shared" ca="1" si="16"/>
        <v>0</v>
      </c>
      <c r="G84" s="34">
        <f t="shared" ca="1" si="7"/>
        <v>0</v>
      </c>
      <c r="H84" s="24" t="str">
        <f ca="1">OFFSET(Setup!$A$32,1+ROW($A84)-ROW($A$77),0,1,1)</f>
        <v>B8</v>
      </c>
      <c r="K84" s="55"/>
      <c r="L84" s="55"/>
      <c r="M84" s="55"/>
    </row>
    <row r="85" spans="1:13" ht="15.95" customHeight="1" x14ac:dyDescent="0.25">
      <c r="A85" s="12" t="str">
        <f t="shared" ca="1" si="14"/>
        <v>BS-BB9</v>
      </c>
      <c r="B85" s="4" t="str">
        <f t="shared" ca="1" si="5"/>
        <v>JACARANDA</v>
      </c>
      <c r="C85" s="57">
        <f ca="1">SUMIFS(IncPayAmount,IncPayDate,"&lt;"&amp;Setup!$D$16,IncPayDate,"&lt;&gt;""",IncBank,$H85)-SUMIFS(ExpIncl,ExpPayDate,"&lt;"&amp;Setup!$D$16,ExpPayDate,"&lt;&gt;""",ExpBank,$H85)</f>
        <v>0</v>
      </c>
      <c r="E85" s="34">
        <f t="shared" ca="1" si="6"/>
        <v>0</v>
      </c>
      <c r="F85" s="34">
        <f t="shared" ca="1" si="16"/>
        <v>0</v>
      </c>
      <c r="G85" s="34">
        <f t="shared" ca="1" si="7"/>
        <v>0</v>
      </c>
      <c r="H85" s="24" t="str">
        <f ca="1">OFFSET(Setup!$A$32,1+ROW($A85)-ROW($A$77),0,1,1)</f>
        <v>B9</v>
      </c>
      <c r="K85" s="55"/>
      <c r="L85" s="55"/>
      <c r="M85" s="55"/>
    </row>
    <row r="86" spans="1:13" ht="15.95" customHeight="1" x14ac:dyDescent="0.25">
      <c r="A86" s="12" t="str">
        <f t="shared" ca="1" si="14"/>
        <v>BS-BB10</v>
      </c>
      <c r="B86" s="4" t="str">
        <f t="shared" ca="1" si="5"/>
        <v>GANGILONGA</v>
      </c>
      <c r="C86" s="57">
        <f ca="1">SUMIFS(IncPayAmount,IncPayDate,"&lt;"&amp;Setup!$D$16,IncPayDate,"&lt;&gt;""",IncBank,$H86)-SUMIFS(ExpIncl,ExpPayDate,"&lt;"&amp;Setup!$D$16,ExpPayDate,"&lt;&gt;""",ExpBank,$H86)</f>
        <v>0</v>
      </c>
      <c r="E86" s="34">
        <f t="shared" ca="1" si="6"/>
        <v>0</v>
      </c>
      <c r="F86" s="34">
        <f t="shared" ca="1" si="16"/>
        <v>0</v>
      </c>
      <c r="G86" s="34">
        <f t="shared" ca="1" si="7"/>
        <v>0</v>
      </c>
      <c r="H86" s="24" t="str">
        <f ca="1">OFFSET(Setup!$A$32,1+ROW($A86)-ROW($A$77),0,1,1)</f>
        <v>B10</v>
      </c>
      <c r="K86" s="55"/>
      <c r="L86" s="55"/>
      <c r="M86" s="55"/>
    </row>
    <row r="87" spans="1:13" ht="15.95" customHeight="1" x14ac:dyDescent="0.25">
      <c r="A87" s="12" t="str">
        <f t="shared" ca="1" si="14"/>
        <v>BS-BB11</v>
      </c>
      <c r="B87" s="4" t="str">
        <f t="shared" ca="1" si="5"/>
        <v>PAWAGA ROAD FLAT</v>
      </c>
      <c r="C87" s="57">
        <f ca="1">SUMIFS(IncPayAmount,IncPayDate,"&lt;"&amp;Setup!$D$16,IncPayDate,"&lt;&gt;""",IncBank,$H87)-SUMIFS(ExpIncl,ExpPayDate,"&lt;"&amp;Setup!$D$16,ExpPayDate,"&lt;&gt;""",ExpBank,$H87)</f>
        <v>0</v>
      </c>
      <c r="E87" s="34">
        <f t="shared" ca="1" si="6"/>
        <v>0</v>
      </c>
      <c r="F87" s="34">
        <f t="shared" ca="1" si="16"/>
        <v>-475106.13</v>
      </c>
      <c r="G87" s="34">
        <f t="shared" ca="1" si="7"/>
        <v>-475106.13</v>
      </c>
      <c r="H87" s="24" t="str">
        <f ca="1">OFFSET(Setup!$A$32,1+ROW($A87)-ROW($A$77),0,1,1)</f>
        <v>B11</v>
      </c>
      <c r="K87" s="55"/>
      <c r="L87" s="55"/>
      <c r="M87" s="55"/>
    </row>
    <row r="88" spans="1:13" ht="15.95" customHeight="1" x14ac:dyDescent="0.25">
      <c r="A88" s="12" t="str">
        <f t="shared" ca="1" si="14"/>
        <v>BS-BB12</v>
      </c>
      <c r="B88" s="4" t="str">
        <f t="shared" ca="1" si="5"/>
        <v>SONGWE</v>
      </c>
      <c r="C88" s="57">
        <f ca="1">SUMIFS(IncPayAmount,IncPayDate,"&lt;"&amp;Setup!$D$16,IncPayDate,"&lt;&gt;""",IncBank,$H88)-SUMIFS(ExpIncl,ExpPayDate,"&lt;"&amp;Setup!$D$16,ExpPayDate,"&lt;&gt;""",ExpBank,$H88)</f>
        <v>0</v>
      </c>
      <c r="E88" s="34">
        <f t="shared" ca="1" si="6"/>
        <v>0</v>
      </c>
      <c r="F88" s="34">
        <f t="shared" ca="1" si="16"/>
        <v>0</v>
      </c>
      <c r="G88" s="34">
        <f t="shared" ca="1" si="7"/>
        <v>0</v>
      </c>
      <c r="H88" s="24" t="str">
        <f ca="1">OFFSET(Setup!$A$32,1+ROW($A88)-ROW($A$77),0,1,1)</f>
        <v>B12</v>
      </c>
      <c r="K88" s="55"/>
      <c r="L88" s="55"/>
      <c r="M88" s="55"/>
    </row>
    <row r="89" spans="1:13" ht="15.95" customHeight="1" x14ac:dyDescent="0.25">
      <c r="A89" s="12" t="str">
        <f t="shared" ca="1" si="14"/>
        <v>BS-BB13</v>
      </c>
      <c r="B89" s="4" t="str">
        <f t="shared" ca="1" si="5"/>
        <v>MBEYA</v>
      </c>
      <c r="C89" s="57">
        <f ca="1">SUMIFS(IncPayAmount,IncPayDate,"&lt;"&amp;Setup!$D$16,IncPayDate,"&lt;&gt;""",IncBank,$H89)-SUMIFS(ExpIncl,ExpPayDate,"&lt;"&amp;Setup!$D$16,ExpPayDate,"&lt;&gt;""",ExpBank,$H89)</f>
        <v>0</v>
      </c>
      <c r="E89" s="34">
        <f t="shared" ca="1" si="6"/>
        <v>0</v>
      </c>
      <c r="F89" s="34">
        <f t="shared" ca="1" si="16"/>
        <v>0</v>
      </c>
      <c r="G89" s="34">
        <f t="shared" ca="1" si="7"/>
        <v>0</v>
      </c>
      <c r="H89" s="24" t="str">
        <f ca="1">OFFSET(Setup!$A$32,1+ROW($A89)-ROW($A$77),0,1,1)</f>
        <v>B13</v>
      </c>
      <c r="K89" s="55"/>
      <c r="L89" s="55"/>
      <c r="M89" s="55"/>
    </row>
    <row r="90" spans="1:13" ht="15.95" customHeight="1" x14ac:dyDescent="0.25">
      <c r="A90" s="12" t="str">
        <f t="shared" ca="1" si="14"/>
        <v>BS-BB14</v>
      </c>
      <c r="B90" s="4" t="str">
        <f t="shared" ca="1" si="5"/>
        <v>NJOMBE</v>
      </c>
      <c r="C90" s="57">
        <f ca="1">SUMIFS(IncPayAmount,IncPayDate,"&lt;"&amp;Setup!$D$16,IncPayDate,"&lt;&gt;""",IncBank,$H90)-SUMIFS(ExpIncl,ExpPayDate,"&lt;"&amp;Setup!$D$16,ExpPayDate,"&lt;&gt;""",ExpBank,$H90)</f>
        <v>0</v>
      </c>
      <c r="E90" s="34">
        <f t="shared" ca="1" si="6"/>
        <v>0</v>
      </c>
      <c r="F90" s="34">
        <f t="shared" ca="1" si="16"/>
        <v>0</v>
      </c>
      <c r="G90" s="34">
        <f t="shared" ca="1" si="7"/>
        <v>0</v>
      </c>
      <c r="H90" s="24" t="str">
        <f ca="1">OFFSET(Setup!$A$32,1+ROW($A90)-ROW($A$77),0,1,1)</f>
        <v>B14</v>
      </c>
      <c r="K90" s="55"/>
      <c r="L90" s="55"/>
      <c r="M90" s="55"/>
    </row>
    <row r="91" spans="1:13" ht="15.95" customHeight="1" x14ac:dyDescent="0.25">
      <c r="A91" s="12" t="str">
        <f t="shared" ca="1" si="14"/>
        <v>BS-BB15</v>
      </c>
      <c r="B91" s="4" t="str">
        <f t="shared" ca="1" si="5"/>
        <v>QUALITY PLAZA</v>
      </c>
      <c r="C91" s="57">
        <f ca="1">SUMIFS(IncPayAmount,IncPayDate,"&lt;"&amp;Setup!$D$16,IncPayDate,"&lt;&gt;""",IncBank,$H91)-SUMIFS(ExpIncl,ExpPayDate,"&lt;"&amp;Setup!$D$16,ExpPayDate,"&lt;&gt;""",ExpBank,$H91)</f>
        <v>0</v>
      </c>
      <c r="E91" s="34">
        <f t="shared" ca="1" si="6"/>
        <v>0</v>
      </c>
      <c r="F91" s="34">
        <f t="shared" ca="1" si="16"/>
        <v>0</v>
      </c>
      <c r="G91" s="34">
        <f t="shared" ca="1" si="7"/>
        <v>0</v>
      </c>
      <c r="H91" s="24" t="str">
        <f ca="1">OFFSET(Setup!$A$32,1+ROW($A91)-ROW($A$77),0,1,1)</f>
        <v>B15</v>
      </c>
      <c r="K91" s="55"/>
      <c r="L91" s="55"/>
      <c r="M91" s="55"/>
    </row>
    <row r="92" spans="1:13" ht="15.95" customHeight="1" x14ac:dyDescent="0.25">
      <c r="A92" s="12" t="str">
        <f t="shared" ca="1" si="14"/>
        <v>BS-BB16</v>
      </c>
      <c r="B92" s="4" t="str">
        <f t="shared" ca="1" si="5"/>
        <v>EXIM BANK</v>
      </c>
      <c r="C92" s="57">
        <f ca="1">SUMIFS(IncPayAmount,IncPayDate,"&lt;"&amp;Setup!$D$16,IncPayDate,"&lt;&gt;""",IncBank,$H92)-SUMIFS(ExpIncl,ExpPayDate,"&lt;"&amp;Setup!$D$16,ExpPayDate,"&lt;&gt;""",ExpBank,$H92)</f>
        <v>649000</v>
      </c>
      <c r="E92" s="34">
        <f t="shared" ca="1" si="6"/>
        <v>649000</v>
      </c>
      <c r="F92" s="34">
        <f t="shared" ca="1" si="16"/>
        <v>2395000</v>
      </c>
      <c r="G92" s="34">
        <f t="shared" ca="1" si="7"/>
        <v>3044000</v>
      </c>
      <c r="H92" s="24" t="str">
        <f ca="1">OFFSET(Setup!$A$32,1+ROW($A92)-ROW($A$77),0,1,1)</f>
        <v>B16</v>
      </c>
      <c r="K92" s="55"/>
      <c r="L92" s="55"/>
      <c r="M92" s="55"/>
    </row>
    <row r="93" spans="1:13" ht="15.95" customHeight="1" x14ac:dyDescent="0.25">
      <c r="A93" s="12" t="str">
        <f t="shared" ref="A93" ca="1" si="17">"BS-B"&amp;H93</f>
        <v>BS-BPC</v>
      </c>
      <c r="B93" s="4" t="str">
        <f t="shared" ca="1" si="5"/>
        <v>PC Petty Cash</v>
      </c>
      <c r="C93" s="57">
        <f ca="1">SUMIFS(IncPayAmount,IncPayDate,"&lt;"&amp;Setup!$D$16,IncPayDate,"&lt;&gt;""",IncBank,$H93)-SUMIFS(ExpIncl,ExpPayDate,"&lt;"&amp;Setup!$D$16,ExpPayDate,"&lt;&gt;""",ExpBank,$H93)</f>
        <v>0</v>
      </c>
      <c r="E93" s="34">
        <f t="shared" ca="1" si="6"/>
        <v>0</v>
      </c>
      <c r="F93" s="34">
        <f t="shared" ref="F93" ca="1" si="18">G93-E93</f>
        <v>300000</v>
      </c>
      <c r="G93" s="34">
        <f t="shared" ca="1" si="7"/>
        <v>300000</v>
      </c>
      <c r="H93" s="24" t="str">
        <f ca="1">OFFSET(Setup!$A$32,1+ROW($A93)-ROW($A$77),0,1,1)</f>
        <v>PC</v>
      </c>
      <c r="K93" s="55"/>
      <c r="L93" s="55"/>
      <c r="M93" s="55"/>
    </row>
    <row r="94" spans="1:13" ht="15.95" customHeight="1" x14ac:dyDescent="0.25">
      <c r="A94" s="12" t="str">
        <f t="shared" ca="1" si="14"/>
        <v>BS-BJC</v>
      </c>
      <c r="B94" s="4" t="str">
        <f t="shared" ca="1" si="5"/>
        <v>GL Journal Control</v>
      </c>
      <c r="C94" s="57">
        <f ca="1">SUMIFS(IncPayAmount,IncPayDate,"&lt;"&amp;Setup!$D$16,IncPayDate,"&lt;&gt;""",IncBank,$H94)-SUMIFS(ExpIncl,ExpPayDate,"&lt;"&amp;Setup!$D$16,ExpPayDate,"&lt;&gt;""",ExpBank,$H94)</f>
        <v>0</v>
      </c>
      <c r="E94" s="34">
        <f t="shared" ca="1" si="6"/>
        <v>0</v>
      </c>
      <c r="F94" s="34">
        <f t="shared" ref="F94" ca="1" si="19">G94-E94</f>
        <v>2702200</v>
      </c>
      <c r="G94" s="34">
        <f t="shared" ca="1" si="7"/>
        <v>2702200</v>
      </c>
      <c r="H94" s="24" t="str">
        <f ca="1">OFFSET(Setup!$A$32,1+ROW($A94)-ROW($A$77),0,1,1)</f>
        <v>JC</v>
      </c>
      <c r="K94" s="55"/>
      <c r="L94" s="55"/>
      <c r="M94" s="55"/>
    </row>
    <row r="95" spans="1:13" ht="15.95" customHeight="1" x14ac:dyDescent="0.25">
      <c r="A95" s="12" t="s">
        <v>161</v>
      </c>
      <c r="B95" s="4" t="s">
        <v>49</v>
      </c>
      <c r="C95" s="57">
        <f ca="1">SUMIFS(IncIncl,IncDocDate,"&lt;"&amp;Setup!$D$16)-SUMIFS(IncPayAmount,IncDocDate,"&lt;"&amp;Setup!$D$16,IncPayDate,"&lt;"&amp;Setup!$D$16)</f>
        <v>16435800.710000001</v>
      </c>
      <c r="E95" s="34">
        <f ca="1">SUMIFS(IncIncl,IncDocDate,"&lt;="&amp;$E$3)-SUMIFS(IncPayAmount,IncDocDate,"&lt;="&amp;$E$3,IncPayDate,"&lt;="&amp;$E$3)</f>
        <v>16435800.710000001</v>
      </c>
      <c r="F95" s="34">
        <f ca="1">G95-E95</f>
        <v>93205343.599999994</v>
      </c>
      <c r="G95" s="34">
        <f>SUMIFS(IncIncl,IncDocDate,"&lt;="&amp;$G$3)-SUMIFS(IncPayAmount,IncDocDate,"&lt;="&amp;$G$3,IncPayDate,"&lt;="&amp;$G$3)</f>
        <v>109641144.31</v>
      </c>
      <c r="K95" s="35"/>
      <c r="L95" s="35"/>
      <c r="M95" s="35"/>
    </row>
    <row r="96" spans="1:13" ht="15.95" customHeight="1" x14ac:dyDescent="0.25">
      <c r="A96" s="12" t="s">
        <v>166</v>
      </c>
      <c r="B96" s="4" t="s">
        <v>50</v>
      </c>
      <c r="C96" s="57">
        <f ca="1">-SUMIFS(ExpIncl,ExpDocDate,"&lt;"&amp;Setup!$D$16,ExpPayDate,"&gt;="&amp;Setup!$D$16)-SUMIFS(ExpIncl,ExpDocDate,"&lt;"&amp;Setup!$D$16,ExpPayDate,"")</f>
        <v>0</v>
      </c>
      <c r="E96" s="34">
        <f ca="1">-SUMIFS(ExpIncl,ExpDocDate,"&lt;="&amp;$E$3,ExpPayDate,"&gt;"&amp;$E$3)-SUMIFS(ExpIncl,ExpDocDate,"&lt;="&amp;$E$3,ExpPayDate,"")</f>
        <v>0</v>
      </c>
      <c r="F96" s="34">
        <f ca="1">G96-E96</f>
        <v>0</v>
      </c>
      <c r="G96" s="34">
        <f>-SUMIFS(ExpIncl,ExpDocDate,"&lt;="&amp;$G$3,ExpPayDate,"&gt;"&amp;$G$3)-SUMIFS(ExpIncl,ExpDocDate,"&lt;="&amp;$G$3,ExpPayDate,"")</f>
        <v>0</v>
      </c>
    </row>
    <row r="97" spans="1:10" ht="15.95" customHeight="1" x14ac:dyDescent="0.25">
      <c r="A97" s="12" t="s">
        <v>167</v>
      </c>
      <c r="B97" s="4" t="s">
        <v>40</v>
      </c>
      <c r="C97" s="50">
        <v>-19756567.199999999</v>
      </c>
      <c r="E97" s="34">
        <f ca="1">$C$97-SUMIFS(IncExcl,IncDocDate,"&lt;="&amp;$E$2,IncDocDate,"&gt;"&amp;$C$3,IncAccount,"&gt;=IS-0000",IncAccount,"&lt;=IS-9999")+SUMIFS(ExpExcl,ExpDocDate,"&lt;="&amp;$E$2,ExpDocDate,"&gt;"&amp;$C$3,ExpAccount,"&gt;=IS-0000",ExpAccount,"&lt;=IS-9999")</f>
        <v>-19756567.199999999</v>
      </c>
      <c r="F97" s="34">
        <f ca="1">G97-E97</f>
        <v>0</v>
      </c>
      <c r="G97" s="34">
        <f ca="1">$C$97-SUMIFS(IncExcl,IncDocDate,"&lt;="&amp;$G$2,IncDocDate,"&gt;"&amp;$C$3,IncAccount,"&gt;=IS-0000",IncAccount,"&lt;=IS-9999")+SUMIFS(ExpExcl,ExpDocDate,"&lt;="&amp;$G$2,ExpDocDate,"&gt;"&amp;$C$3,ExpAccount,"&gt;=IS-0000",ExpAccount,"&lt;=IS-9999")</f>
        <v>-19756567.199999999</v>
      </c>
      <c r="I97" s="58"/>
      <c r="J97" s="58"/>
    </row>
    <row r="99" spans="1:10" s="60" customFormat="1" ht="15.95" customHeight="1" thickBot="1" x14ac:dyDescent="0.25">
      <c r="A99" s="59"/>
      <c r="C99" s="61">
        <f ca="1">ROUND(SUM(C5:C98),2)</f>
        <v>4371092.05</v>
      </c>
      <c r="E99" s="61">
        <f ca="1">ROUND(SUM(E5:E98),2)</f>
        <v>4371092.05</v>
      </c>
      <c r="F99" s="61">
        <f ca="1">ROUND(SUM(F5:F98),2)</f>
        <v>11942293.84</v>
      </c>
      <c r="G99" s="61">
        <f ca="1">ROUND(SUM(G5:G98),2)</f>
        <v>16313385.890000001</v>
      </c>
      <c r="H99" s="62"/>
    </row>
    <row r="101" spans="1:10" ht="15.95" customHeight="1" x14ac:dyDescent="0.25">
      <c r="A101" s="56" t="s">
        <v>324</v>
      </c>
      <c r="B101" s="56"/>
      <c r="C101" s="63"/>
    </row>
    <row r="102" spans="1:10" ht="15.95" customHeight="1" x14ac:dyDescent="0.25">
      <c r="A102" s="12" t="s">
        <v>325</v>
      </c>
      <c r="B102" s="12"/>
      <c r="C102" s="63"/>
    </row>
    <row r="103" spans="1:10" ht="15.95" customHeight="1" x14ac:dyDescent="0.25">
      <c r="A103" s="12" t="s">
        <v>326</v>
      </c>
      <c r="B103" s="12"/>
      <c r="C103" s="63"/>
    </row>
    <row r="104" spans="1:10" ht="15.95" customHeight="1" x14ac:dyDescent="0.25">
      <c r="A104" s="12" t="s">
        <v>327</v>
      </c>
      <c r="B104" s="12"/>
      <c r="C104" s="63"/>
    </row>
    <row r="105" spans="1:10" ht="15.95" customHeight="1" x14ac:dyDescent="0.25">
      <c r="A105" s="12" t="s">
        <v>328</v>
      </c>
    </row>
    <row r="106" spans="1:10" ht="15.95" customHeight="1" x14ac:dyDescent="0.25">
      <c r="A106" s="12" t="s">
        <v>329</v>
      </c>
    </row>
    <row r="107" spans="1:10" ht="15.95" customHeight="1" x14ac:dyDescent="0.25">
      <c r="A107" s="12" t="s">
        <v>330</v>
      </c>
    </row>
    <row r="108" spans="1:10" ht="15.95" customHeight="1" x14ac:dyDescent="0.25">
      <c r="A108" s="12" t="s">
        <v>333</v>
      </c>
    </row>
  </sheetData>
  <phoneticPr fontId="2" type="noConversion"/>
  <conditionalFormatting sqref="A4:A74">
    <cfRule type="expression" dxfId="67" priority="1">
      <formula>OR($H4="Error!",$H4="Double!")</formula>
    </cfRule>
  </conditionalFormatting>
  <conditionalFormatting sqref="G3">
    <cfRule type="expression" dxfId="66" priority="5" stopIfTrue="1">
      <formula>ISNA(MATCH(G3,Months,0))</formula>
    </cfRule>
  </conditionalFormatting>
  <dataValidations count="1">
    <dataValidation type="list" allowBlank="1" showInputMessage="1" showErrorMessage="1" errorTitle="Invalid Month" error="Select one of the reporting periods from the list box." sqref="G3" xr:uid="{00000000-0002-0000-0500-000000000000}">
      <formula1>Months</formula1>
    </dataValidation>
  </dataValidations>
  <pageMargins left="0.59055118110236227" right="0.59055118110236227" top="0.59055118110236227" bottom="0.59055118110236227" header="0.39370078740157483" footer="0.39370078740157483"/>
  <pageSetup paperSize="9" scale="62" orientation="portrait"/>
  <headerFooter alignWithMargins="0">
    <oddFooter>Page &amp;P of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K31"/>
  <sheetViews>
    <sheetView tabSelected="1" zoomScale="95" zoomScaleNormal="95" workbookViewId="0">
      <pane xSplit="2" ySplit="4" topLeftCell="C5" activePane="bottomRight" state="frozen"/>
      <selection pane="topRight" activeCell="C1" sqref="C1"/>
      <selection pane="bottomLeft" activeCell="A5" sqref="A5"/>
      <selection pane="bottomRight" activeCell="C1" sqref="C1"/>
    </sheetView>
  </sheetViews>
  <sheetFormatPr defaultColWidth="9.140625" defaultRowHeight="15.95" customHeight="1" x14ac:dyDescent="0.25"/>
  <cols>
    <col min="1" max="1" width="12.5703125" style="64" customWidth="1"/>
    <col min="2" max="2" width="28" style="64" customWidth="1"/>
    <col min="3" max="3" width="61.5703125" style="65" customWidth="1"/>
    <col min="4" max="4" width="20.5703125" style="66" customWidth="1"/>
    <col min="5" max="5" width="17.85546875" style="34" bestFit="1" customWidth="1"/>
    <col min="6" max="11" width="14.5703125" style="34" customWidth="1"/>
    <col min="12" max="16" width="25.5703125" style="64" customWidth="1"/>
    <col min="17" max="16384" width="9.140625" style="64"/>
  </cols>
  <sheetData>
    <row r="1" spans="1:11" ht="15.95" customHeight="1" x14ac:dyDescent="0.25">
      <c r="A1" s="274" t="str">
        <f>IF(ISBLANK(Setup!$C$5),"Example Limited",Setup!$C$5)</f>
        <v>Nasia Consult Co. Limited</v>
      </c>
      <c r="E1" s="307" t="s">
        <v>312</v>
      </c>
      <c r="F1" s="37">
        <f ca="1">DATE(YEAR(F2),MONTH(F2),0)</f>
        <v>45626</v>
      </c>
      <c r="G1" s="37">
        <f t="shared" ref="G1:K1" ca="1" si="0">DATE(YEAR(G2),MONTH(G2),0)</f>
        <v>45596</v>
      </c>
      <c r="H1" s="37">
        <f t="shared" ca="1" si="0"/>
        <v>45565</v>
      </c>
      <c r="I1" s="37">
        <f t="shared" ca="1" si="0"/>
        <v>45535</v>
      </c>
      <c r="J1" s="37">
        <f t="shared" ca="1" si="0"/>
        <v>45504</v>
      </c>
      <c r="K1" s="37">
        <f t="shared" ca="1" si="0"/>
        <v>45473</v>
      </c>
    </row>
    <row r="2" spans="1:11" ht="15.95" customHeight="1" x14ac:dyDescent="0.25">
      <c r="A2" s="67" t="s">
        <v>500</v>
      </c>
      <c r="E2" s="68">
        <v>45657</v>
      </c>
      <c r="F2" s="37">
        <f ca="1">IF(ISBLANK(E2),TODAY(),E2)</f>
        <v>45657</v>
      </c>
      <c r="G2" s="37">
        <f ca="1">DATE(YEAR(F2),MONTH(F2),0)</f>
        <v>45626</v>
      </c>
      <c r="H2" s="37">
        <f t="shared" ref="H2:K2" ca="1" si="1">DATE(YEAR(G2),MONTH(G2),0)</f>
        <v>45596</v>
      </c>
      <c r="I2" s="37">
        <f t="shared" ca="1" si="1"/>
        <v>45565</v>
      </c>
      <c r="J2" s="37">
        <f t="shared" ca="1" si="1"/>
        <v>45535</v>
      </c>
      <c r="K2" s="37">
        <f t="shared" ca="1" si="1"/>
        <v>45504</v>
      </c>
    </row>
    <row r="3" spans="1:11" s="67" customFormat="1" ht="15.95" customHeight="1" x14ac:dyDescent="0.25">
      <c r="A3" s="7" t="s">
        <v>244</v>
      </c>
      <c r="C3" s="69"/>
      <c r="D3" s="70"/>
      <c r="E3" s="71">
        <f ca="1">SUBTOTAL(109,Customer[[#Data],[Outstanding Balance]])</f>
        <v>109641144.30999999</v>
      </c>
      <c r="F3" s="71">
        <f ca="1">SUBTOTAL(109,Customer[[#Data],[Current]])</f>
        <v>0</v>
      </c>
      <c r="G3" s="71">
        <f ca="1">SUBTOTAL(109,Customer[[#Data],[30 Days]])</f>
        <v>0</v>
      </c>
      <c r="H3" s="71">
        <f ca="1">SUBTOTAL(109,Customer[[#Data],[60 Days]])</f>
        <v>0</v>
      </c>
      <c r="I3" s="71">
        <f ca="1">SUBTOTAL(109,Customer[[#Data],[90 Days]])</f>
        <v>0</v>
      </c>
      <c r="J3" s="71">
        <f ca="1">SUBTOTAL(109,Customer[[#Data],[120 Days]])</f>
        <v>0</v>
      </c>
      <c r="K3" s="71">
        <f ca="1">SUBTOTAL(109,Customer[[#Data],[120+ Days]])</f>
        <v>109641144.30999999</v>
      </c>
    </row>
    <row r="4" spans="1:11" s="76" customFormat="1" ht="25.5" x14ac:dyDescent="0.25">
      <c r="A4" s="72" t="s">
        <v>56</v>
      </c>
      <c r="B4" s="72" t="s">
        <v>499</v>
      </c>
      <c r="C4" s="73" t="s">
        <v>498</v>
      </c>
      <c r="D4" s="74" t="s">
        <v>493</v>
      </c>
      <c r="E4" s="75" t="s">
        <v>311</v>
      </c>
      <c r="F4" s="75" t="s">
        <v>520</v>
      </c>
      <c r="G4" s="75" t="s">
        <v>521</v>
      </c>
      <c r="H4" s="75" t="s">
        <v>522</v>
      </c>
      <c r="I4" s="75" t="s">
        <v>523</v>
      </c>
      <c r="J4" s="75" t="s">
        <v>524</v>
      </c>
      <c r="K4" s="75" t="s">
        <v>525</v>
      </c>
    </row>
    <row r="5" spans="1:11" ht="15.95" customHeight="1" x14ac:dyDescent="0.25">
      <c r="A5" s="316" t="s">
        <v>687</v>
      </c>
      <c r="B5" s="64" t="s">
        <v>685</v>
      </c>
      <c r="D5" s="77">
        <v>100841665</v>
      </c>
      <c r="E5" s="78">
        <f t="shared" ref="E5:E8" ca="1" si="2">SUMIFS(IncIncl,IncDocDate,"&lt;="&amp;$F$2,IncCus,$A5)-SUMIFS(IncPayAmount,IncDocDate,"&lt;="&amp;$F$2,IncPayDate,"&lt;="&amp;$F$2,IncCus,$A5)</f>
        <v>413000</v>
      </c>
      <c r="F5" s="79">
        <f t="shared" ref="F5:J8" ca="1" si="3">SUMIFS(IncIncl,IncDocDate,"&lt;="&amp;F$2,IncDocDate,"&gt;"&amp;F$1,IncCus,$A5)-SUMIFS(IncPayAmount,IncDocDate,"&lt;="&amp;F$2,IncDocDate,"&gt;"&amp;F$1,IncPayDate,"&lt;="&amp;$F$2,IncCus,$A5)</f>
        <v>0</v>
      </c>
      <c r="G5" s="79">
        <f t="shared" ca="1" si="3"/>
        <v>0</v>
      </c>
      <c r="H5" s="79">
        <f t="shared" ca="1" si="3"/>
        <v>0</v>
      </c>
      <c r="I5" s="79">
        <f t="shared" ca="1" si="3"/>
        <v>0</v>
      </c>
      <c r="J5" s="79">
        <f t="shared" ca="1" si="3"/>
        <v>0</v>
      </c>
      <c r="K5" s="79">
        <f t="shared" ref="K5:K8" ca="1" si="4">SUMIFS(IncIncl,IncDocDate,"&lt;="&amp;K$2,IncCus,$A5)-SUMIFS(IncPayAmount,IncDocDate,"&lt;="&amp;K$2,IncPayDate,"&lt;="&amp;$F$2,IncCus,$A5)</f>
        <v>413000</v>
      </c>
    </row>
    <row r="6" spans="1:11" ht="15.95" customHeight="1" x14ac:dyDescent="0.25">
      <c r="A6" s="316" t="s">
        <v>688</v>
      </c>
      <c r="B6" s="64" t="s">
        <v>686</v>
      </c>
      <c r="D6" s="80">
        <v>140969583</v>
      </c>
      <c r="E6" s="81">
        <f t="shared" ca="1" si="2"/>
        <v>1800000</v>
      </c>
      <c r="F6" s="82">
        <f t="shared" ca="1" si="3"/>
        <v>0</v>
      </c>
      <c r="G6" s="82">
        <f t="shared" ca="1" si="3"/>
        <v>0</v>
      </c>
      <c r="H6" s="82">
        <f t="shared" ca="1" si="3"/>
        <v>0</v>
      </c>
      <c r="I6" s="82">
        <f t="shared" ca="1" si="3"/>
        <v>0</v>
      </c>
      <c r="J6" s="82">
        <f t="shared" ca="1" si="3"/>
        <v>0</v>
      </c>
      <c r="K6" s="82">
        <f t="shared" ca="1" si="4"/>
        <v>1800000</v>
      </c>
    </row>
    <row r="7" spans="1:11" ht="15.95" customHeight="1" x14ac:dyDescent="0.25">
      <c r="A7" s="316" t="s">
        <v>696</v>
      </c>
      <c r="B7" s="64" t="s">
        <v>697</v>
      </c>
      <c r="D7" s="80">
        <v>100476541</v>
      </c>
      <c r="E7" s="81">
        <f t="shared" ca="1" si="2"/>
        <v>64031520</v>
      </c>
      <c r="F7" s="82">
        <f t="shared" ca="1" si="3"/>
        <v>0</v>
      </c>
      <c r="G7" s="82">
        <f t="shared" ca="1" si="3"/>
        <v>0</v>
      </c>
      <c r="H7" s="82">
        <f t="shared" ca="1" si="3"/>
        <v>0</v>
      </c>
      <c r="I7" s="82">
        <f t="shared" ca="1" si="3"/>
        <v>0</v>
      </c>
      <c r="J7" s="82">
        <f t="shared" ca="1" si="3"/>
        <v>0</v>
      </c>
      <c r="K7" s="82">
        <f t="shared" ca="1" si="4"/>
        <v>64031520</v>
      </c>
    </row>
    <row r="8" spans="1:11" ht="15.95" customHeight="1" x14ac:dyDescent="0.25">
      <c r="A8" s="316" t="s">
        <v>698</v>
      </c>
      <c r="B8" s="64" t="s">
        <v>699</v>
      </c>
      <c r="D8" s="80">
        <v>101269027</v>
      </c>
      <c r="E8" s="81">
        <f t="shared" ca="1" si="2"/>
        <v>7816320</v>
      </c>
      <c r="F8" s="82">
        <f t="shared" ca="1" si="3"/>
        <v>0</v>
      </c>
      <c r="G8" s="82">
        <f t="shared" ca="1" si="3"/>
        <v>0</v>
      </c>
      <c r="H8" s="82">
        <f t="shared" ca="1" si="3"/>
        <v>0</v>
      </c>
      <c r="I8" s="82">
        <f t="shared" ca="1" si="3"/>
        <v>0</v>
      </c>
      <c r="J8" s="82">
        <f t="shared" ca="1" si="3"/>
        <v>0</v>
      </c>
      <c r="K8" s="82">
        <f t="shared" ca="1" si="4"/>
        <v>7816320</v>
      </c>
    </row>
    <row r="9" spans="1:11" ht="15.95" customHeight="1" x14ac:dyDescent="0.25">
      <c r="A9" s="320" t="s">
        <v>700</v>
      </c>
      <c r="B9" s="320" t="s">
        <v>701</v>
      </c>
      <c r="C9" s="321"/>
      <c r="D9" s="322">
        <v>106350817</v>
      </c>
      <c r="E9" s="323">
        <f t="shared" ref="E9:E29" ca="1" si="5">SUMIFS(IncIncl,IncDocDate,"&lt;="&amp;$F$2,IncCus,$A9)-SUMIFS(IncPayAmount,IncDocDate,"&lt;="&amp;$F$2,IncPayDate,"&lt;="&amp;$F$2,IncCus,$A9)</f>
        <v>0</v>
      </c>
      <c r="F9" s="324">
        <f t="shared" ref="F9:J18" ca="1" si="6">SUMIFS(IncIncl,IncDocDate,"&lt;="&amp;F$2,IncDocDate,"&gt;"&amp;F$1,IncCus,$A9)-SUMIFS(IncPayAmount,IncDocDate,"&lt;="&amp;F$2,IncDocDate,"&gt;"&amp;F$1,IncPayDate,"&lt;="&amp;$F$2,IncCus,$A9)</f>
        <v>0</v>
      </c>
      <c r="G9" s="324">
        <f t="shared" ca="1" si="6"/>
        <v>0</v>
      </c>
      <c r="H9" s="324">
        <f t="shared" ca="1" si="6"/>
        <v>0</v>
      </c>
      <c r="I9" s="324">
        <f t="shared" ca="1" si="6"/>
        <v>0</v>
      </c>
      <c r="J9" s="324">
        <f t="shared" ca="1" si="6"/>
        <v>0</v>
      </c>
      <c r="K9" s="324">
        <f t="shared" ref="K9:K29" ca="1" si="7">SUMIFS(IncIncl,IncDocDate,"&lt;="&amp;K$2,IncCus,$A9)-SUMIFS(IncPayAmount,IncDocDate,"&lt;="&amp;K$2,IncPayDate,"&lt;="&amp;$F$2,IncCus,$A9)</f>
        <v>0</v>
      </c>
    </row>
    <row r="10" spans="1:11" ht="15.95" customHeight="1" x14ac:dyDescent="0.25">
      <c r="A10" s="320" t="s">
        <v>702</v>
      </c>
      <c r="B10" s="320" t="s">
        <v>703</v>
      </c>
      <c r="C10" s="321"/>
      <c r="D10" s="322">
        <v>103955637</v>
      </c>
      <c r="E10" s="323">
        <f t="shared" ca="1" si="5"/>
        <v>2300000</v>
      </c>
      <c r="F10" s="324">
        <f t="shared" ca="1" si="6"/>
        <v>0</v>
      </c>
      <c r="G10" s="324">
        <f t="shared" ca="1" si="6"/>
        <v>0</v>
      </c>
      <c r="H10" s="324">
        <f t="shared" ca="1" si="6"/>
        <v>0</v>
      </c>
      <c r="I10" s="324">
        <f t="shared" ca="1" si="6"/>
        <v>0</v>
      </c>
      <c r="J10" s="324">
        <f t="shared" ca="1" si="6"/>
        <v>0</v>
      </c>
      <c r="K10" s="324">
        <f t="shared" ca="1" si="7"/>
        <v>2300000</v>
      </c>
    </row>
    <row r="11" spans="1:11" ht="15.95" customHeight="1" x14ac:dyDescent="0.25">
      <c r="A11" s="320" t="s">
        <v>704</v>
      </c>
      <c r="B11" s="320" t="s">
        <v>705</v>
      </c>
      <c r="C11" s="321"/>
      <c r="D11" s="322">
        <v>102158008</v>
      </c>
      <c r="E11" s="323">
        <f t="shared" ca="1" si="5"/>
        <v>11800000</v>
      </c>
      <c r="F11" s="324">
        <f t="shared" ca="1" si="6"/>
        <v>0</v>
      </c>
      <c r="G11" s="324">
        <f t="shared" ca="1" si="6"/>
        <v>0</v>
      </c>
      <c r="H11" s="324">
        <f t="shared" ca="1" si="6"/>
        <v>0</v>
      </c>
      <c r="I11" s="324">
        <f t="shared" ca="1" si="6"/>
        <v>0</v>
      </c>
      <c r="J11" s="324">
        <f t="shared" ca="1" si="6"/>
        <v>0</v>
      </c>
      <c r="K11" s="324">
        <f t="shared" ca="1" si="7"/>
        <v>11800000</v>
      </c>
    </row>
    <row r="12" spans="1:11" ht="15.95" customHeight="1" x14ac:dyDescent="0.25">
      <c r="A12" s="320" t="s">
        <v>706</v>
      </c>
      <c r="B12" s="320" t="s">
        <v>706</v>
      </c>
      <c r="C12" s="321"/>
      <c r="D12" s="322">
        <v>137742969</v>
      </c>
      <c r="E12" s="323">
        <f t="shared" ca="1" si="5"/>
        <v>850329.24000000022</v>
      </c>
      <c r="F12" s="324">
        <f t="shared" ca="1" si="6"/>
        <v>0</v>
      </c>
      <c r="G12" s="324">
        <f t="shared" ca="1" si="6"/>
        <v>0</v>
      </c>
      <c r="H12" s="324">
        <f t="shared" ca="1" si="6"/>
        <v>0</v>
      </c>
      <c r="I12" s="324">
        <f t="shared" ca="1" si="6"/>
        <v>0</v>
      </c>
      <c r="J12" s="324">
        <f t="shared" ca="1" si="6"/>
        <v>0</v>
      </c>
      <c r="K12" s="324">
        <f t="shared" ca="1" si="7"/>
        <v>850329.24000000022</v>
      </c>
    </row>
    <row r="13" spans="1:11" ht="15.95" customHeight="1" x14ac:dyDescent="0.25">
      <c r="A13" s="320" t="s">
        <v>707</v>
      </c>
      <c r="B13" s="320" t="s">
        <v>708</v>
      </c>
      <c r="C13" s="321"/>
      <c r="D13" s="322">
        <v>100102021</v>
      </c>
      <c r="E13" s="323">
        <f t="shared" ca="1" si="5"/>
        <v>700920</v>
      </c>
      <c r="F13" s="324">
        <f t="shared" ca="1" si="6"/>
        <v>0</v>
      </c>
      <c r="G13" s="324">
        <f t="shared" ca="1" si="6"/>
        <v>0</v>
      </c>
      <c r="H13" s="324">
        <f t="shared" ca="1" si="6"/>
        <v>0</v>
      </c>
      <c r="I13" s="324">
        <f t="shared" ca="1" si="6"/>
        <v>0</v>
      </c>
      <c r="J13" s="324">
        <f t="shared" ca="1" si="6"/>
        <v>0</v>
      </c>
      <c r="K13" s="324">
        <f t="shared" ca="1" si="7"/>
        <v>700920</v>
      </c>
    </row>
    <row r="14" spans="1:11" ht="15.95" customHeight="1" x14ac:dyDescent="0.25">
      <c r="A14" s="320" t="s">
        <v>709</v>
      </c>
      <c r="B14" s="320" t="s">
        <v>709</v>
      </c>
      <c r="C14" s="321"/>
      <c r="D14" s="322">
        <v>100208628</v>
      </c>
      <c r="E14" s="323">
        <f t="shared" ca="1" si="5"/>
        <v>4129847.0999999996</v>
      </c>
      <c r="F14" s="324">
        <f t="shared" ca="1" si="6"/>
        <v>0</v>
      </c>
      <c r="G14" s="324">
        <f t="shared" ca="1" si="6"/>
        <v>0</v>
      </c>
      <c r="H14" s="324">
        <f t="shared" ca="1" si="6"/>
        <v>0</v>
      </c>
      <c r="I14" s="324">
        <f t="shared" ca="1" si="6"/>
        <v>0</v>
      </c>
      <c r="J14" s="324">
        <f t="shared" ca="1" si="6"/>
        <v>0</v>
      </c>
      <c r="K14" s="324">
        <f t="shared" ca="1" si="7"/>
        <v>4129847.0999999996</v>
      </c>
    </row>
    <row r="15" spans="1:11" ht="15.95" customHeight="1" x14ac:dyDescent="0.25">
      <c r="A15" s="320" t="s">
        <v>710</v>
      </c>
      <c r="B15" s="320" t="s">
        <v>711</v>
      </c>
      <c r="C15" s="321"/>
      <c r="D15" s="322">
        <v>101056228</v>
      </c>
      <c r="E15" s="323">
        <f t="shared" ca="1" si="5"/>
        <v>0</v>
      </c>
      <c r="F15" s="324">
        <f t="shared" ca="1" si="6"/>
        <v>0</v>
      </c>
      <c r="G15" s="324">
        <f t="shared" ca="1" si="6"/>
        <v>0</v>
      </c>
      <c r="H15" s="324">
        <f t="shared" ca="1" si="6"/>
        <v>0</v>
      </c>
      <c r="I15" s="324">
        <f t="shared" ca="1" si="6"/>
        <v>0</v>
      </c>
      <c r="J15" s="324">
        <f t="shared" ca="1" si="6"/>
        <v>0</v>
      </c>
      <c r="K15" s="324">
        <f t="shared" ca="1" si="7"/>
        <v>0</v>
      </c>
    </row>
    <row r="16" spans="1:11" ht="15.95" customHeight="1" x14ac:dyDescent="0.25">
      <c r="A16" s="320" t="s">
        <v>712</v>
      </c>
      <c r="B16" s="320" t="s">
        <v>713</v>
      </c>
      <c r="C16" s="321"/>
      <c r="D16" s="322">
        <v>107849580</v>
      </c>
      <c r="E16" s="323">
        <f t="shared" ca="1" si="5"/>
        <v>0</v>
      </c>
      <c r="F16" s="324">
        <f t="shared" ca="1" si="6"/>
        <v>0</v>
      </c>
      <c r="G16" s="324">
        <f t="shared" ca="1" si="6"/>
        <v>0</v>
      </c>
      <c r="H16" s="324">
        <f t="shared" ca="1" si="6"/>
        <v>0</v>
      </c>
      <c r="I16" s="324">
        <f t="shared" ca="1" si="6"/>
        <v>0</v>
      </c>
      <c r="J16" s="324">
        <f t="shared" ca="1" si="6"/>
        <v>0</v>
      </c>
      <c r="K16" s="324">
        <f t="shared" ca="1" si="7"/>
        <v>0</v>
      </c>
    </row>
    <row r="17" spans="1:11" ht="15.95" customHeight="1" x14ac:dyDescent="0.25">
      <c r="A17" s="320" t="s">
        <v>714</v>
      </c>
      <c r="B17" s="320" t="s">
        <v>715</v>
      </c>
      <c r="C17" s="321"/>
      <c r="D17" s="322">
        <v>128315292</v>
      </c>
      <c r="E17" s="323">
        <f t="shared" ca="1" si="5"/>
        <v>636020</v>
      </c>
      <c r="F17" s="324">
        <f t="shared" ca="1" si="6"/>
        <v>0</v>
      </c>
      <c r="G17" s="324">
        <f t="shared" ca="1" si="6"/>
        <v>0</v>
      </c>
      <c r="H17" s="324">
        <f t="shared" ca="1" si="6"/>
        <v>0</v>
      </c>
      <c r="I17" s="324">
        <f t="shared" ca="1" si="6"/>
        <v>0</v>
      </c>
      <c r="J17" s="324">
        <f t="shared" ca="1" si="6"/>
        <v>0</v>
      </c>
      <c r="K17" s="324">
        <f t="shared" ca="1" si="7"/>
        <v>636020</v>
      </c>
    </row>
    <row r="18" spans="1:11" ht="15.95" customHeight="1" x14ac:dyDescent="0.25">
      <c r="A18" s="320" t="s">
        <v>716</v>
      </c>
      <c r="B18" s="320" t="s">
        <v>716</v>
      </c>
      <c r="C18" s="321"/>
      <c r="D18" s="322">
        <v>139906101</v>
      </c>
      <c r="E18" s="323">
        <f t="shared" ca="1" si="5"/>
        <v>0</v>
      </c>
      <c r="F18" s="324">
        <f t="shared" ca="1" si="6"/>
        <v>0</v>
      </c>
      <c r="G18" s="324">
        <f t="shared" ca="1" si="6"/>
        <v>0</v>
      </c>
      <c r="H18" s="324">
        <f t="shared" ca="1" si="6"/>
        <v>0</v>
      </c>
      <c r="I18" s="324">
        <f t="shared" ca="1" si="6"/>
        <v>0</v>
      </c>
      <c r="J18" s="324">
        <f t="shared" ca="1" si="6"/>
        <v>0</v>
      </c>
      <c r="K18" s="324">
        <f t="shared" ca="1" si="7"/>
        <v>0</v>
      </c>
    </row>
    <row r="19" spans="1:11" ht="15.95" customHeight="1" x14ac:dyDescent="0.25">
      <c r="A19" s="320" t="s">
        <v>717</v>
      </c>
      <c r="B19" s="320" t="s">
        <v>718</v>
      </c>
      <c r="C19" s="321"/>
      <c r="D19" s="322">
        <v>150193966</v>
      </c>
      <c r="E19" s="323">
        <f t="shared" ca="1" si="5"/>
        <v>1530696</v>
      </c>
      <c r="F19" s="324">
        <f t="shared" ref="F19:J29" ca="1" si="8">SUMIFS(IncIncl,IncDocDate,"&lt;="&amp;F$2,IncDocDate,"&gt;"&amp;F$1,IncCus,$A19)-SUMIFS(IncPayAmount,IncDocDate,"&lt;="&amp;F$2,IncDocDate,"&gt;"&amp;F$1,IncPayDate,"&lt;="&amp;$F$2,IncCus,$A19)</f>
        <v>0</v>
      </c>
      <c r="G19" s="324">
        <f t="shared" ca="1" si="8"/>
        <v>0</v>
      </c>
      <c r="H19" s="324">
        <f t="shared" ca="1" si="8"/>
        <v>0</v>
      </c>
      <c r="I19" s="324">
        <f t="shared" ca="1" si="8"/>
        <v>0</v>
      </c>
      <c r="J19" s="324">
        <f t="shared" ca="1" si="8"/>
        <v>0</v>
      </c>
      <c r="K19" s="324">
        <f t="shared" ca="1" si="7"/>
        <v>1530696</v>
      </c>
    </row>
    <row r="20" spans="1:11" ht="15.95" customHeight="1" x14ac:dyDescent="0.25">
      <c r="A20" s="320" t="s">
        <v>719</v>
      </c>
      <c r="B20" s="320" t="s">
        <v>720</v>
      </c>
      <c r="C20" s="321"/>
      <c r="D20" s="322">
        <v>101205614</v>
      </c>
      <c r="E20" s="323">
        <f t="shared" ca="1" si="5"/>
        <v>13557491.970000001</v>
      </c>
      <c r="F20" s="324">
        <f t="shared" ca="1" si="8"/>
        <v>0</v>
      </c>
      <c r="G20" s="324">
        <f t="shared" ca="1" si="8"/>
        <v>0</v>
      </c>
      <c r="H20" s="324">
        <f t="shared" ca="1" si="8"/>
        <v>0</v>
      </c>
      <c r="I20" s="324">
        <f t="shared" ca="1" si="8"/>
        <v>0</v>
      </c>
      <c r="J20" s="324">
        <f t="shared" ca="1" si="8"/>
        <v>0</v>
      </c>
      <c r="K20" s="324">
        <f t="shared" ca="1" si="7"/>
        <v>13557491.970000001</v>
      </c>
    </row>
    <row r="21" spans="1:11" ht="15.95" customHeight="1" x14ac:dyDescent="0.25">
      <c r="A21" s="320" t="s">
        <v>721</v>
      </c>
      <c r="B21" s="320" t="s">
        <v>721</v>
      </c>
      <c r="C21" s="321"/>
      <c r="D21" s="322">
        <v>105774125</v>
      </c>
      <c r="E21" s="323">
        <f t="shared" ca="1" si="5"/>
        <v>0</v>
      </c>
      <c r="F21" s="324">
        <f t="shared" ca="1" si="8"/>
        <v>0</v>
      </c>
      <c r="G21" s="324">
        <f t="shared" ca="1" si="8"/>
        <v>0</v>
      </c>
      <c r="H21" s="324">
        <f t="shared" ca="1" si="8"/>
        <v>0</v>
      </c>
      <c r="I21" s="324">
        <f t="shared" ca="1" si="8"/>
        <v>0</v>
      </c>
      <c r="J21" s="324">
        <f t="shared" ca="1" si="8"/>
        <v>0</v>
      </c>
      <c r="K21" s="324">
        <f t="shared" ca="1" si="7"/>
        <v>0</v>
      </c>
    </row>
    <row r="22" spans="1:11" ht="15.95" customHeight="1" x14ac:dyDescent="0.25">
      <c r="A22" s="320" t="s">
        <v>722</v>
      </c>
      <c r="B22" s="320" t="s">
        <v>723</v>
      </c>
      <c r="C22" s="321"/>
      <c r="D22" s="322">
        <v>118843622</v>
      </c>
      <c r="E22" s="323">
        <f t="shared" ca="1" si="5"/>
        <v>0</v>
      </c>
      <c r="F22" s="324">
        <f t="shared" ca="1" si="8"/>
        <v>0</v>
      </c>
      <c r="G22" s="324">
        <f t="shared" ca="1" si="8"/>
        <v>0</v>
      </c>
      <c r="H22" s="324">
        <f t="shared" ca="1" si="8"/>
        <v>0</v>
      </c>
      <c r="I22" s="324">
        <f t="shared" ca="1" si="8"/>
        <v>0</v>
      </c>
      <c r="J22" s="324">
        <f t="shared" ca="1" si="8"/>
        <v>0</v>
      </c>
      <c r="K22" s="324">
        <f t="shared" ca="1" si="7"/>
        <v>0</v>
      </c>
    </row>
    <row r="23" spans="1:11" ht="15.95" customHeight="1" x14ac:dyDescent="0.25">
      <c r="A23" s="320" t="s">
        <v>724</v>
      </c>
      <c r="B23" s="320" t="s">
        <v>725</v>
      </c>
      <c r="C23" s="321"/>
      <c r="D23" s="322">
        <v>112234675</v>
      </c>
      <c r="E23" s="323">
        <f t="shared" ca="1" si="5"/>
        <v>0</v>
      </c>
      <c r="F23" s="324">
        <f t="shared" ca="1" si="8"/>
        <v>0</v>
      </c>
      <c r="G23" s="324">
        <f t="shared" ca="1" si="8"/>
        <v>0</v>
      </c>
      <c r="H23" s="324">
        <f t="shared" ca="1" si="8"/>
        <v>0</v>
      </c>
      <c r="I23" s="324">
        <f t="shared" ca="1" si="8"/>
        <v>0</v>
      </c>
      <c r="J23" s="324">
        <f t="shared" ca="1" si="8"/>
        <v>0</v>
      </c>
      <c r="K23" s="324">
        <f t="shared" ca="1" si="7"/>
        <v>0</v>
      </c>
    </row>
    <row r="24" spans="1:11" ht="15.95" customHeight="1" x14ac:dyDescent="0.25">
      <c r="A24" s="320" t="s">
        <v>726</v>
      </c>
      <c r="B24" s="320" t="s">
        <v>727</v>
      </c>
      <c r="C24" s="321"/>
      <c r="D24" s="322">
        <v>100105594</v>
      </c>
      <c r="E24" s="323">
        <f t="shared" ca="1" si="5"/>
        <v>0</v>
      </c>
      <c r="F24" s="324">
        <f t="shared" ca="1" si="8"/>
        <v>0</v>
      </c>
      <c r="G24" s="324">
        <f t="shared" ca="1" si="8"/>
        <v>0</v>
      </c>
      <c r="H24" s="324">
        <f t="shared" ca="1" si="8"/>
        <v>0</v>
      </c>
      <c r="I24" s="324">
        <f t="shared" ca="1" si="8"/>
        <v>0</v>
      </c>
      <c r="J24" s="324">
        <f t="shared" ca="1" si="8"/>
        <v>0</v>
      </c>
      <c r="K24" s="324">
        <f t="shared" ca="1" si="7"/>
        <v>0</v>
      </c>
    </row>
    <row r="25" spans="1:11" ht="15.95" customHeight="1" x14ac:dyDescent="0.25">
      <c r="A25" s="320" t="s">
        <v>728</v>
      </c>
      <c r="B25" s="320" t="s">
        <v>729</v>
      </c>
      <c r="C25" s="321"/>
      <c r="D25" s="322">
        <v>141042440</v>
      </c>
      <c r="E25" s="323">
        <f t="shared" ca="1" si="5"/>
        <v>0</v>
      </c>
      <c r="F25" s="324">
        <f t="shared" ca="1" si="8"/>
        <v>0</v>
      </c>
      <c r="G25" s="324">
        <f t="shared" ca="1" si="8"/>
        <v>0</v>
      </c>
      <c r="H25" s="324">
        <f t="shared" ca="1" si="8"/>
        <v>0</v>
      </c>
      <c r="I25" s="324">
        <f t="shared" ca="1" si="8"/>
        <v>0</v>
      </c>
      <c r="J25" s="324">
        <f t="shared" ca="1" si="8"/>
        <v>0</v>
      </c>
      <c r="K25" s="324">
        <f t="shared" ca="1" si="7"/>
        <v>0</v>
      </c>
    </row>
    <row r="26" spans="1:11" ht="15.95" customHeight="1" x14ac:dyDescent="0.25">
      <c r="A26" s="320" t="s">
        <v>730</v>
      </c>
      <c r="B26" s="320" t="s">
        <v>731</v>
      </c>
      <c r="C26" s="321"/>
      <c r="D26" s="322">
        <v>106968373</v>
      </c>
      <c r="E26" s="323">
        <f t="shared" ca="1" si="5"/>
        <v>0</v>
      </c>
      <c r="F26" s="324">
        <f t="shared" ca="1" si="8"/>
        <v>0</v>
      </c>
      <c r="G26" s="324">
        <f t="shared" ca="1" si="8"/>
        <v>0</v>
      </c>
      <c r="H26" s="324">
        <f t="shared" ca="1" si="8"/>
        <v>0</v>
      </c>
      <c r="I26" s="324">
        <f t="shared" ca="1" si="8"/>
        <v>0</v>
      </c>
      <c r="J26" s="324">
        <f t="shared" ca="1" si="8"/>
        <v>0</v>
      </c>
      <c r="K26" s="324">
        <f t="shared" ca="1" si="7"/>
        <v>0</v>
      </c>
    </row>
    <row r="27" spans="1:11" ht="15.95" customHeight="1" x14ac:dyDescent="0.25">
      <c r="A27" s="320" t="s">
        <v>732</v>
      </c>
      <c r="B27" s="320" t="s">
        <v>733</v>
      </c>
      <c r="C27" s="321"/>
      <c r="D27" s="322">
        <v>109114235</v>
      </c>
      <c r="E27" s="323">
        <f t="shared" ca="1" si="5"/>
        <v>0</v>
      </c>
      <c r="F27" s="324">
        <f t="shared" ca="1" si="8"/>
        <v>0</v>
      </c>
      <c r="G27" s="324">
        <f t="shared" ca="1" si="8"/>
        <v>0</v>
      </c>
      <c r="H27" s="324">
        <f t="shared" ca="1" si="8"/>
        <v>0</v>
      </c>
      <c r="I27" s="324">
        <f t="shared" ca="1" si="8"/>
        <v>0</v>
      </c>
      <c r="J27" s="324">
        <f t="shared" ca="1" si="8"/>
        <v>0</v>
      </c>
      <c r="K27" s="324">
        <f t="shared" ca="1" si="7"/>
        <v>0</v>
      </c>
    </row>
    <row r="28" spans="1:11" ht="15.95" customHeight="1" x14ac:dyDescent="0.25">
      <c r="A28" s="320" t="s">
        <v>734</v>
      </c>
      <c r="B28" s="320" t="s">
        <v>735</v>
      </c>
      <c r="C28" s="321"/>
      <c r="D28" s="322">
        <v>139500504</v>
      </c>
      <c r="E28" s="323">
        <f t="shared" ca="1" si="5"/>
        <v>0</v>
      </c>
      <c r="F28" s="324">
        <f t="shared" ca="1" si="8"/>
        <v>0</v>
      </c>
      <c r="G28" s="324">
        <f t="shared" ca="1" si="8"/>
        <v>0</v>
      </c>
      <c r="H28" s="324">
        <f t="shared" ca="1" si="8"/>
        <v>0</v>
      </c>
      <c r="I28" s="324">
        <f t="shared" ca="1" si="8"/>
        <v>0</v>
      </c>
      <c r="J28" s="324">
        <f t="shared" ca="1" si="8"/>
        <v>0</v>
      </c>
      <c r="K28" s="324">
        <f t="shared" ca="1" si="7"/>
        <v>0</v>
      </c>
    </row>
    <row r="29" spans="1:11" ht="15.95" customHeight="1" x14ac:dyDescent="0.25">
      <c r="A29" s="320" t="s">
        <v>736</v>
      </c>
      <c r="B29" s="320" t="s">
        <v>737</v>
      </c>
      <c r="C29" s="321"/>
      <c r="D29" s="322">
        <v>141287389</v>
      </c>
      <c r="E29" s="323">
        <f t="shared" ca="1" si="5"/>
        <v>0</v>
      </c>
      <c r="F29" s="324">
        <f t="shared" ca="1" si="8"/>
        <v>0</v>
      </c>
      <c r="G29" s="324">
        <f t="shared" ca="1" si="8"/>
        <v>0</v>
      </c>
      <c r="H29" s="324">
        <f t="shared" ca="1" si="8"/>
        <v>0</v>
      </c>
      <c r="I29" s="324">
        <f t="shared" ca="1" si="8"/>
        <v>0</v>
      </c>
      <c r="J29" s="324">
        <f t="shared" ca="1" si="8"/>
        <v>0</v>
      </c>
      <c r="K29" s="324">
        <f t="shared" ca="1" si="7"/>
        <v>0</v>
      </c>
    </row>
    <row r="30" spans="1:11" ht="15.95" customHeight="1" x14ac:dyDescent="0.25">
      <c r="A30" s="320" t="s">
        <v>785</v>
      </c>
      <c r="B30" s="320" t="s">
        <v>786</v>
      </c>
      <c r="C30" s="321"/>
      <c r="D30" s="322">
        <v>134098422</v>
      </c>
      <c r="E30" s="323">
        <f ca="1">SUMIFS(IncIncl,IncDocDate,"&lt;="&amp;$F$2,IncCus,$A30)-SUMIFS(IncPayAmount,IncDocDate,"&lt;="&amp;$F$2,IncPayDate,"&lt;="&amp;$F$2,IncCus,$A30)</f>
        <v>0</v>
      </c>
      <c r="F30" s="324">
        <f t="shared" ref="F30:J31" ca="1" si="9">SUMIFS(IncIncl,IncDocDate,"&lt;="&amp;F$2,IncDocDate,"&gt;"&amp;F$1,IncCus,$A30)-SUMIFS(IncPayAmount,IncDocDate,"&lt;="&amp;F$2,IncDocDate,"&gt;"&amp;F$1,IncPayDate,"&lt;="&amp;$F$2,IncCus,$A30)</f>
        <v>0</v>
      </c>
      <c r="G30" s="324">
        <f t="shared" ca="1" si="9"/>
        <v>0</v>
      </c>
      <c r="H30" s="324">
        <f t="shared" ca="1" si="9"/>
        <v>0</v>
      </c>
      <c r="I30" s="324">
        <f t="shared" ca="1" si="9"/>
        <v>0</v>
      </c>
      <c r="J30" s="324">
        <f t="shared" ca="1" si="9"/>
        <v>0</v>
      </c>
      <c r="K30" s="324">
        <f ca="1">SUMIFS(IncIncl,IncDocDate,"&lt;="&amp;K$2,IncCus,$A30)-SUMIFS(IncPayAmount,IncDocDate,"&lt;="&amp;K$2,IncPayDate,"&lt;="&amp;$F$2,IncCus,$A30)</f>
        <v>0</v>
      </c>
    </row>
    <row r="31" spans="1:11" ht="15.95" customHeight="1" x14ac:dyDescent="0.25">
      <c r="A31" s="351" t="s">
        <v>811</v>
      </c>
      <c r="B31" s="351" t="s">
        <v>812</v>
      </c>
      <c r="C31" s="352"/>
      <c r="D31" s="353"/>
      <c r="E31" s="354">
        <f ca="1">SUMIFS(IncIncl,IncDocDate,"&lt;="&amp;$F$2,IncCus,$A31)-SUMIFS(IncPayAmount,IncDocDate,"&lt;="&amp;$F$2,IncPayDate,"&lt;="&amp;$F$2,IncCus,$A31)</f>
        <v>75000</v>
      </c>
      <c r="F31" s="355">
        <f t="shared" ca="1" si="9"/>
        <v>0</v>
      </c>
      <c r="G31" s="355">
        <f t="shared" ca="1" si="9"/>
        <v>0</v>
      </c>
      <c r="H31" s="355">
        <f t="shared" ca="1" si="9"/>
        <v>0</v>
      </c>
      <c r="I31" s="355">
        <f t="shared" ca="1" si="9"/>
        <v>0</v>
      </c>
      <c r="J31" s="355">
        <f t="shared" ca="1" si="9"/>
        <v>0</v>
      </c>
      <c r="K31" s="355">
        <f ca="1">SUMIFS(IncIncl,IncDocDate,"&lt;="&amp;K$2,IncCus,$A31)-SUMIFS(IncPayAmount,IncDocDate,"&lt;="&amp;K$2,IncPayDate,"&lt;="&amp;$F$2,IncCus,$A31)</f>
        <v>75000</v>
      </c>
    </row>
  </sheetData>
  <pageMargins left="0.59055118110236227" right="0.59055118110236227" top="0.59055118110236227" bottom="0.59055118110236227" header="0.39370078740157483" footer="0.39370078740157483"/>
  <pageSetup paperSize="9" scale="61" orientation="landscape"/>
  <headerFooter alignWithMargins="0">
    <oddFooter>Page &amp;P of &amp;N</oddFooter>
  </headerFooter>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84"/>
  <sheetViews>
    <sheetView zoomScaleNormal="100" workbookViewId="0">
      <pane ySplit="4" topLeftCell="A10" activePane="bottomLeft" state="frozen"/>
      <selection pane="bottomLeft"/>
    </sheetView>
  </sheetViews>
  <sheetFormatPr defaultColWidth="9.140625" defaultRowHeight="15.95" customHeight="1" x14ac:dyDescent="0.25"/>
  <cols>
    <col min="1" max="1" width="29.5703125" style="12" bestFit="1" customWidth="1"/>
    <col min="2" max="2" width="11.5703125" style="18" customWidth="1"/>
    <col min="3" max="3" width="14.5703125" style="12" customWidth="1"/>
    <col min="4" max="4" width="27.85546875" style="4" bestFit="1" customWidth="1"/>
    <col min="5" max="5" width="17.42578125" style="34" bestFit="1" customWidth="1"/>
    <col min="6" max="8" width="8.85546875" style="99" customWidth="1"/>
    <col min="9" max="9" width="14.5703125" style="35" customWidth="1"/>
    <col min="10" max="10" width="14.5703125" style="99" customWidth="1"/>
    <col min="11" max="11" width="11.5703125" style="18" customWidth="1"/>
    <col min="12" max="12" width="17" style="99" bestFit="1" customWidth="1"/>
    <col min="13" max="13" width="15.5703125" style="34" bestFit="1" customWidth="1"/>
    <col min="14" max="14" width="15.7109375" style="34" bestFit="1" customWidth="1"/>
    <col min="15" max="15" width="14.5703125" style="34" customWidth="1"/>
    <col min="16" max="16" width="15.5703125" style="34" bestFit="1" customWidth="1"/>
    <col min="17" max="18" width="7.5703125" style="86" customWidth="1"/>
    <col min="19" max="19" width="8.5703125" style="35" customWidth="1"/>
    <col min="20" max="20" width="12.5703125" style="4" customWidth="1"/>
    <col min="21" max="16384" width="9.140625" style="4"/>
  </cols>
  <sheetData>
    <row r="1" spans="1:20" ht="15.95" customHeight="1" x14ac:dyDescent="0.25">
      <c r="A1" s="274" t="str">
        <f>IF(ISBLANK(Setup!$C$5),"Example Limited",Setup!$C$5)</f>
        <v>Nasia Consult Co. Limited</v>
      </c>
      <c r="B1" s="83"/>
      <c r="F1" s="4"/>
      <c r="G1" s="4"/>
      <c r="H1" s="4"/>
      <c r="I1" s="4"/>
      <c r="J1" s="34"/>
      <c r="K1" s="84"/>
      <c r="L1" s="307" t="s">
        <v>312</v>
      </c>
      <c r="M1" s="85"/>
      <c r="R1" s="87" t="str">
        <f>Statement!$H$16</f>
        <v>TIB</v>
      </c>
    </row>
    <row r="2" spans="1:20" ht="15.95" customHeight="1" x14ac:dyDescent="0.25">
      <c r="A2" s="28" t="s">
        <v>530</v>
      </c>
      <c r="B2" s="88"/>
      <c r="F2" s="4"/>
      <c r="G2" s="4"/>
      <c r="H2" s="4"/>
      <c r="I2" s="4"/>
      <c r="J2" s="34"/>
      <c r="K2" s="84"/>
      <c r="L2" s="68">
        <v>45657</v>
      </c>
      <c r="M2" s="37">
        <f ca="1">IF(ISBLANK(L2),TODAY(),L2)</f>
        <v>45657</v>
      </c>
      <c r="R2" s="37">
        <f>Statement!$H$17</f>
        <v>45657</v>
      </c>
    </row>
    <row r="3" spans="1:20" s="6" customFormat="1" ht="15.95" customHeight="1" x14ac:dyDescent="0.25">
      <c r="A3" s="7" t="s">
        <v>244</v>
      </c>
      <c r="B3" s="88"/>
      <c r="C3" s="28"/>
      <c r="E3" s="89">
        <f>SUBTOTAL(109,Income[[#Data],[Tax Inclusive Amount]])</f>
        <v>9617326.9699999988</v>
      </c>
      <c r="F3" s="90"/>
      <c r="G3" s="90"/>
      <c r="H3" s="90"/>
      <c r="I3" s="16"/>
      <c r="J3" s="89">
        <f>SUBTOTAL(109,Income[[#Data],[Payment Amount]])</f>
        <v>9542326.9699999988</v>
      </c>
      <c r="K3" s="88"/>
      <c r="L3" s="89">
        <f ca="1">SUBTOTAL(109,Income[[#Data],[Outstanding Balance]])</f>
        <v>0</v>
      </c>
      <c r="M3" s="89">
        <f ca="1">SUBTOTAL(109,Income[[#Data],[Exclusive Amount]])</f>
        <v>8991851.0036363639</v>
      </c>
      <c r="N3" s="89">
        <f ca="1">SUBTOTAL(109,Income[[#Data],[Sales Tax 1 Amount]])</f>
        <v>482747.98318181821</v>
      </c>
      <c r="O3" s="89">
        <f ca="1">SUBTOTAL(109,Income[[#Data],[Sales Tax 2 Amount]])</f>
        <v>142727.98318181818</v>
      </c>
      <c r="P3" s="89">
        <f>SUBTOTAL(109,Income[[#Data],[Inclusive Amount]])</f>
        <v>9617326.9699999988</v>
      </c>
      <c r="Q3" s="91"/>
      <c r="R3" s="91"/>
      <c r="S3" s="16"/>
    </row>
    <row r="4" spans="1:20" s="98" customFormat="1" ht="25.5" x14ac:dyDescent="0.2">
      <c r="A4" s="92" t="s">
        <v>34</v>
      </c>
      <c r="B4" s="309" t="s">
        <v>32</v>
      </c>
      <c r="C4" s="92" t="s">
        <v>33</v>
      </c>
      <c r="D4" s="94" t="s">
        <v>7</v>
      </c>
      <c r="E4" s="95" t="s">
        <v>36</v>
      </c>
      <c r="F4" s="95" t="s">
        <v>600</v>
      </c>
      <c r="G4" s="95" t="s">
        <v>601</v>
      </c>
      <c r="H4" s="95" t="s">
        <v>70</v>
      </c>
      <c r="I4" s="93" t="s">
        <v>332</v>
      </c>
      <c r="J4" s="95" t="s">
        <v>310</v>
      </c>
      <c r="K4" s="309" t="s">
        <v>35</v>
      </c>
      <c r="L4" s="96" t="s">
        <v>311</v>
      </c>
      <c r="M4" s="97" t="s">
        <v>37</v>
      </c>
      <c r="N4" s="97" t="s">
        <v>598</v>
      </c>
      <c r="O4" s="97" t="s">
        <v>599</v>
      </c>
      <c r="P4" s="97" t="s">
        <v>54</v>
      </c>
      <c r="Q4" s="97" t="s">
        <v>313</v>
      </c>
      <c r="R4" s="97" t="s">
        <v>529</v>
      </c>
      <c r="S4" s="97" t="s">
        <v>71</v>
      </c>
    </row>
    <row r="5" spans="1:20" ht="15.95" hidden="1" customHeight="1" x14ac:dyDescent="0.25">
      <c r="A5" s="317" t="s">
        <v>773</v>
      </c>
      <c r="B5" s="18">
        <v>45233</v>
      </c>
      <c r="C5" s="12" t="s">
        <v>722</v>
      </c>
      <c r="D5" s="318" t="s">
        <v>766</v>
      </c>
      <c r="E5" s="34">
        <v>300000</v>
      </c>
      <c r="F5" s="308" t="s">
        <v>654</v>
      </c>
      <c r="H5" s="99" t="s">
        <v>59</v>
      </c>
      <c r="I5" s="35" t="s">
        <v>211</v>
      </c>
      <c r="J5" s="99">
        <v>300000</v>
      </c>
      <c r="K5" s="18">
        <v>45233</v>
      </c>
      <c r="L5" s="99" cm="1">
        <f t="array" aca="1" ref="L5" ca="1">IF($Q5="N",0,SUMIFS(IncIncl,IncDocDate,"&lt;="&amp;$M$2,IncInvoice,$A5)-SUMIFS(IncPayAmount,IncDocDate,"&lt;="&amp;$M$2,IncPayDate,"&lt;="&amp;$M$2,IncInvoice,$A5))</f>
        <v>0</v>
      </c>
      <c r="M5" s="34" cm="1">
        <f t="array" aca="1" ref="M5" ca="1">$P5-IF(IncTaxCount=2,SUM(N5:O5),SUM(N5:N5))</f>
        <v>254237.28813559323</v>
      </c>
      <c r="N5" s="34">
        <f ca="1">$P5/(1+IF(ISERROR($F5),0,IF(ISNA(MATCH($F5,TaxCode,0)),0,OFFSET(Setup!$D$23,MATCH($F5,TaxCode,0),0,1,1)))+IF(ISERROR($G5),0,IF(ISNA(MATCH($G5,TaxCode,0)),0,OFFSET(Setup!$D$23,MATCH($G5,TaxCode,0),0,1,1))))*IF(ISERROR($F5),0,IF(ISNA(MATCH($F5,TaxCode,0)),0,OFFSET(Setup!$D$23,MATCH($F5,TaxCode,0),0,1,1)))</f>
        <v>45762.711864406781</v>
      </c>
      <c r="O5" s="34">
        <f ca="1">$P5/(1+IF(ISERROR($F5),0,IF(ISNA(MATCH($F5,TaxCode,0)),0,OFFSET(Setup!$D$23,MATCH($F5,TaxCode,0),0,1,1)))+IF(ISERROR($G5),0,IF(ISNA(MATCH($G5,TaxCode,0)),0,OFFSET(Setup!$D$23,MATCH($G5,TaxCode,0),0,1,1))))*IF(ISERROR($G5),0,IF(ISNA(MATCH($G5,TaxCode,0)),0,OFFSET(Setup!$D$23,MATCH($G5,TaxCode,0),0,1,1)))</f>
        <v>0</v>
      </c>
      <c r="P5" s="34">
        <f t="shared" ref="P5:P32" si="0">E5</f>
        <v>300000</v>
      </c>
      <c r="Q5" s="86" t="str">
        <f t="shared" ref="Q5:Q38" si="1">IF(ISNA(MATCH($A5,IncInvoice,0)),"N",IF(MATCH($A5,IncInvoice,0)=ROW($A5)-4,"Y","N"))</f>
        <v>Y</v>
      </c>
      <c r="R5" s="86" cm="1">
        <f t="array" ref="R5">IF($Q5="N",0,IF(ROUND(SUMIFS(IncIncl,IncDocDate,"&lt;="&amp;$R$2,IncInvoice,$A5,IncCus,$R$1)-SUMIFS(IncPayAmount,IncDocDate,"&lt;="&amp;$R$2,IncPayDate,"&lt;="&amp;$R$2,IncInvoice,$A5,IncCus,$R$1),2)=0,0,1))</f>
        <v>0</v>
      </c>
      <c r="S5" s="99" t="str">
        <f t="shared" ref="S5:S38" ca="1" si="2">IF(AND(ISBLANK(K5)=FALSE,K5&lt;B5),"E1",IF(AND(ISBLANK(I5)=FALSE,ISNA(MATCH($I5,AccountNo,0))),"E2",IF(AND(ISBLANK(H5)=FALSE,ISNA(MATCH($H5,BankCode,0))),"E3",IF(AND(ISBLANK(C5)=FALSE,ISNA(MATCH($C5,CustomerCode,0))),"E4","-"))))</f>
        <v>-</v>
      </c>
    </row>
    <row r="6" spans="1:20" ht="15.95" hidden="1" customHeight="1" x14ac:dyDescent="0.25">
      <c r="A6" s="317" t="s">
        <v>774</v>
      </c>
      <c r="B6" s="18">
        <v>45239</v>
      </c>
      <c r="C6" s="12" t="s">
        <v>726</v>
      </c>
      <c r="D6" s="318" t="s">
        <v>766</v>
      </c>
      <c r="E6" s="34">
        <v>637200</v>
      </c>
      <c r="F6" s="308" t="s">
        <v>654</v>
      </c>
      <c r="H6" s="99" t="s">
        <v>59</v>
      </c>
      <c r="I6" s="35" t="s">
        <v>211</v>
      </c>
      <c r="J6" s="99">
        <v>637200</v>
      </c>
      <c r="K6" s="18">
        <v>45239</v>
      </c>
      <c r="L6" s="99" cm="1">
        <f t="array" aca="1" ref="L6" ca="1">IF($Q6="N",0,SUMIFS(IncIncl,IncDocDate,"&lt;="&amp;$M$2,IncInvoice,$A6)-SUMIFS(IncPayAmount,IncDocDate,"&lt;="&amp;$M$2,IncPayDate,"&lt;="&amp;$M$2,IncInvoice,$A6))</f>
        <v>0</v>
      </c>
      <c r="M6" s="34" cm="1">
        <f t="array" aca="1" ref="M6" ca="1">$P6-IF(IncTaxCount=2,SUM(N6:O6),SUM(N6:N6))</f>
        <v>540000</v>
      </c>
      <c r="N6" s="34">
        <f ca="1">$P6/(1+IF(ISERROR($F6),0,IF(ISNA(MATCH($F6,TaxCode,0)),0,OFFSET(Setup!$D$23,MATCH($F6,TaxCode,0),0,1,1)))+IF(ISERROR($G6),0,IF(ISNA(MATCH($G6,TaxCode,0)),0,OFFSET(Setup!$D$23,MATCH($G6,TaxCode,0),0,1,1))))*IF(ISERROR($F6),0,IF(ISNA(MATCH($F6,TaxCode,0)),0,OFFSET(Setup!$D$23,MATCH($F6,TaxCode,0),0,1,1)))</f>
        <v>97200</v>
      </c>
      <c r="O6" s="34">
        <f ca="1">$P6/(1+IF(ISERROR($F6),0,IF(ISNA(MATCH($F6,TaxCode,0)),0,OFFSET(Setup!$D$23,MATCH($F6,TaxCode,0),0,1,1)))+IF(ISERROR($G6),0,IF(ISNA(MATCH($G6,TaxCode,0)),0,OFFSET(Setup!$D$23,MATCH($G6,TaxCode,0),0,1,1))))*IF(ISERROR($G6),0,IF(ISNA(MATCH($G6,TaxCode,0)),0,OFFSET(Setup!$D$23,MATCH($G6,TaxCode,0),0,1,1)))</f>
        <v>0</v>
      </c>
      <c r="P6" s="34">
        <f t="shared" si="0"/>
        <v>637200</v>
      </c>
      <c r="Q6" s="86" t="str">
        <f t="shared" si="1"/>
        <v>Y</v>
      </c>
      <c r="R6" s="86" cm="1">
        <f t="array" ref="R6">IF($Q6="N",0,IF(ROUND(SUMIFS(IncIncl,IncDocDate,"&lt;="&amp;$R$2,IncInvoice,$A6,IncCus,$R$1)-SUMIFS(IncPayAmount,IncDocDate,"&lt;="&amp;$R$2,IncPayDate,"&lt;="&amp;$R$2,IncInvoice,$A6,IncCus,$R$1),2)=0,0,1))</f>
        <v>0</v>
      </c>
      <c r="S6" s="99" t="str">
        <f t="shared" ca="1" si="2"/>
        <v>-</v>
      </c>
      <c r="T6" s="84"/>
    </row>
    <row r="7" spans="1:20" ht="15.95" hidden="1" customHeight="1" x14ac:dyDescent="0.25">
      <c r="A7" s="317" t="s">
        <v>772</v>
      </c>
      <c r="B7" s="18">
        <v>45254</v>
      </c>
      <c r="C7" s="12" t="s">
        <v>721</v>
      </c>
      <c r="D7" s="318" t="s">
        <v>766</v>
      </c>
      <c r="E7" s="34">
        <v>1584079.2</v>
      </c>
      <c r="F7" s="308" t="s">
        <v>654</v>
      </c>
      <c r="H7" s="99" t="s">
        <v>59</v>
      </c>
      <c r="I7" s="35" t="s">
        <v>211</v>
      </c>
      <c r="J7" s="99">
        <v>1584079.2</v>
      </c>
      <c r="K7" s="18">
        <v>45254</v>
      </c>
      <c r="L7" s="99" cm="1">
        <f t="array" aca="1" ref="L7" ca="1">IF($Q7="N",0,SUMIFS(IncIncl,IncDocDate,"&lt;="&amp;$M$2,IncInvoice,$A7)-SUMIFS(IncPayAmount,IncDocDate,"&lt;="&amp;$M$2,IncPayDate,"&lt;="&amp;$M$2,IncInvoice,$A7))</f>
        <v>0</v>
      </c>
      <c r="M7" s="34" cm="1">
        <f t="array" aca="1" ref="M7" ca="1">$P7-IF(IncTaxCount=2,SUM(N7:O7),SUM(N7:N7))</f>
        <v>1342440</v>
      </c>
      <c r="N7" s="34">
        <f ca="1">$P7/(1+IF(ISERROR($F7),0,IF(ISNA(MATCH($F7,TaxCode,0)),0,OFFSET(Setup!$D$23,MATCH($F7,TaxCode,0),0,1,1)))+IF(ISERROR($G7),0,IF(ISNA(MATCH($G7,TaxCode,0)),0,OFFSET(Setup!$D$23,MATCH($G7,TaxCode,0),0,1,1))))*IF(ISERROR($F7),0,IF(ISNA(MATCH($F7,TaxCode,0)),0,OFFSET(Setup!$D$23,MATCH($F7,TaxCode,0),0,1,1)))</f>
        <v>241639.19999999998</v>
      </c>
      <c r="O7" s="34">
        <f ca="1">$P7/(1+IF(ISERROR($F7),0,IF(ISNA(MATCH($F7,TaxCode,0)),0,OFFSET(Setup!$D$23,MATCH($F7,TaxCode,0),0,1,1)))+IF(ISERROR($G7),0,IF(ISNA(MATCH($G7,TaxCode,0)),0,OFFSET(Setup!$D$23,MATCH($G7,TaxCode,0),0,1,1))))*IF(ISERROR($G7),0,IF(ISNA(MATCH($G7,TaxCode,0)),0,OFFSET(Setup!$D$23,MATCH($G7,TaxCode,0),0,1,1)))</f>
        <v>0</v>
      </c>
      <c r="P7" s="34">
        <f t="shared" si="0"/>
        <v>1584079.2</v>
      </c>
      <c r="Q7" s="86" t="str">
        <f t="shared" si="1"/>
        <v>Y</v>
      </c>
      <c r="R7" s="86" cm="1">
        <f t="array" ref="R7">IF($Q7="N",0,IF(ROUND(SUMIFS(IncIncl,IncDocDate,"&lt;="&amp;$R$2,IncInvoice,$A7,IncCus,$R$1)-SUMIFS(IncPayAmount,IncDocDate,"&lt;="&amp;$R$2,IncPayDate,"&lt;="&amp;$R$2,IncInvoice,$A7,IncCus,$R$1),2)=0,0,1))</f>
        <v>0</v>
      </c>
      <c r="S7" s="99" t="str">
        <f t="shared" ca="1" si="2"/>
        <v>-</v>
      </c>
    </row>
    <row r="8" spans="1:20" ht="15.95" hidden="1" customHeight="1" x14ac:dyDescent="0.25">
      <c r="A8" s="317" t="s">
        <v>781</v>
      </c>
      <c r="B8" s="18">
        <v>45259</v>
      </c>
      <c r="C8" s="12" t="s">
        <v>736</v>
      </c>
      <c r="D8" s="318" t="s">
        <v>766</v>
      </c>
      <c r="E8" s="34">
        <v>273288</v>
      </c>
      <c r="F8" s="308" t="s">
        <v>654</v>
      </c>
      <c r="H8" s="99" t="s">
        <v>59</v>
      </c>
      <c r="I8" s="35" t="s">
        <v>211</v>
      </c>
      <c r="J8" s="99">
        <v>273288</v>
      </c>
      <c r="K8" s="18">
        <v>45259</v>
      </c>
      <c r="L8" s="99" cm="1">
        <f t="array" aca="1" ref="L8" ca="1">IF($Q8="N",0,SUMIFS(IncIncl,IncDocDate,"&lt;="&amp;$M$2,IncInvoice,$A8)-SUMIFS(IncPayAmount,IncDocDate,"&lt;="&amp;$M$2,IncPayDate,"&lt;="&amp;$M$2,IncInvoice,$A8))</f>
        <v>0</v>
      </c>
      <c r="M8" s="34" cm="1">
        <f t="array" aca="1" ref="M8" ca="1">$P8-IF(IncTaxCount=2,SUM(N8:O8),SUM(N8:N8))</f>
        <v>231600</v>
      </c>
      <c r="N8" s="34">
        <f ca="1">$P8/(1+IF(ISERROR($F8),0,IF(ISNA(MATCH($F8,TaxCode,0)),0,OFFSET(Setup!$D$23,MATCH($F8,TaxCode,0),0,1,1)))+IF(ISERROR($G8),0,IF(ISNA(MATCH($G8,TaxCode,0)),0,OFFSET(Setup!$D$23,MATCH($G8,TaxCode,0),0,1,1))))*IF(ISERROR($F8),0,IF(ISNA(MATCH($F8,TaxCode,0)),0,OFFSET(Setup!$D$23,MATCH($F8,TaxCode,0),0,1,1)))</f>
        <v>41688</v>
      </c>
      <c r="O8" s="34">
        <f ca="1">$P8/(1+IF(ISERROR($F8),0,IF(ISNA(MATCH($F8,TaxCode,0)),0,OFFSET(Setup!$D$23,MATCH($F8,TaxCode,0),0,1,1)))+IF(ISERROR($G8),0,IF(ISNA(MATCH($G8,TaxCode,0)),0,OFFSET(Setup!$D$23,MATCH($G8,TaxCode,0),0,1,1))))*IF(ISERROR($G8),0,IF(ISNA(MATCH($G8,TaxCode,0)),0,OFFSET(Setup!$D$23,MATCH($G8,TaxCode,0),0,1,1)))</f>
        <v>0</v>
      </c>
      <c r="P8" s="34">
        <f t="shared" si="0"/>
        <v>273288</v>
      </c>
      <c r="Q8" s="86" t="str">
        <f t="shared" si="1"/>
        <v>Y</v>
      </c>
      <c r="R8" s="86" cm="1">
        <f t="array" ref="R8">IF($Q8="N",0,IF(ROUND(SUMIFS(IncIncl,IncDocDate,"&lt;="&amp;$R$2,IncInvoice,$A8,IncCus,$R$1)-SUMIFS(IncPayAmount,IncDocDate,"&lt;="&amp;$R$2,IncPayDate,"&lt;="&amp;$R$2,IncInvoice,$A8,IncCus,$R$1),2)=0,0,1))</f>
        <v>0</v>
      </c>
      <c r="S8" s="99" t="str">
        <f t="shared" ca="1" si="2"/>
        <v>-</v>
      </c>
    </row>
    <row r="9" spans="1:20" ht="15.95" hidden="1" customHeight="1" x14ac:dyDescent="0.25">
      <c r="A9" s="330" t="s">
        <v>764</v>
      </c>
      <c r="B9" s="331">
        <v>45272</v>
      </c>
      <c r="C9" s="332" t="s">
        <v>710</v>
      </c>
      <c r="D9" s="333" t="s">
        <v>691</v>
      </c>
      <c r="E9" s="334">
        <v>649000</v>
      </c>
      <c r="F9" s="337" t="s">
        <v>654</v>
      </c>
      <c r="G9" s="335"/>
      <c r="H9" s="335" t="s">
        <v>743</v>
      </c>
      <c r="I9" s="336" t="s">
        <v>210</v>
      </c>
      <c r="J9" s="335">
        <v>649000</v>
      </c>
      <c r="K9" s="331">
        <v>45272</v>
      </c>
      <c r="L9" s="99" cm="1">
        <f t="array" aca="1" ref="L9" ca="1">IF($Q9="N",0,SUMIFS(IncIncl,IncDocDate,"&lt;="&amp;$M$2,IncInvoice,$A9)-SUMIFS(IncPayAmount,IncDocDate,"&lt;="&amp;$M$2,IncPayDate,"&lt;="&amp;$M$2,IncInvoice,$A9))</f>
        <v>0</v>
      </c>
      <c r="M9" s="34" cm="1">
        <f t="array" aca="1" ref="M9" ca="1">$P9-IF(IncTaxCount=2,SUM(N9:O9),SUM(N9:N9))</f>
        <v>550000</v>
      </c>
      <c r="N9" s="34">
        <f ca="1">$P9/(1+IF(ISERROR($F9),0,IF(ISNA(MATCH($F9,TaxCode,0)),0,OFFSET(Setup!$D$23,MATCH($F9,TaxCode,0),0,1,1)))+IF(ISERROR($G9),0,IF(ISNA(MATCH($G9,TaxCode,0)),0,OFFSET(Setup!$D$23,MATCH($G9,TaxCode,0),0,1,1))))*IF(ISERROR($F9),0,IF(ISNA(MATCH($F9,TaxCode,0)),0,OFFSET(Setup!$D$23,MATCH($F9,TaxCode,0),0,1,1)))</f>
        <v>99000</v>
      </c>
      <c r="O9" s="34">
        <f ca="1">$P9/(1+IF(ISERROR($F9),0,IF(ISNA(MATCH($F9,TaxCode,0)),0,OFFSET(Setup!$D$23,MATCH($F9,TaxCode,0),0,1,1)))+IF(ISERROR($G9),0,IF(ISNA(MATCH($G9,TaxCode,0)),0,OFFSET(Setup!$D$23,MATCH($G9,TaxCode,0),0,1,1))))*IF(ISERROR($G9),0,IF(ISNA(MATCH($G9,TaxCode,0)),0,OFFSET(Setup!$D$23,MATCH($G9,TaxCode,0),0,1,1)))</f>
        <v>0</v>
      </c>
      <c r="P9" s="34">
        <f t="shared" si="0"/>
        <v>649000</v>
      </c>
      <c r="Q9" s="86" t="str">
        <f t="shared" si="1"/>
        <v>Y</v>
      </c>
      <c r="R9" s="86" cm="1">
        <f t="array" ref="R9">IF($Q9="N",0,IF(ROUND(SUMIFS(IncIncl,IncDocDate,"&lt;="&amp;$R$2,IncInvoice,$A9,IncCus,$R$1)-SUMIFS(IncPayAmount,IncDocDate,"&lt;="&amp;$R$2,IncPayDate,"&lt;="&amp;$R$2,IncInvoice,$A9,IncCus,$R$1),2)=0,0,1))</f>
        <v>0</v>
      </c>
      <c r="S9" s="99" t="str">
        <f t="shared" ca="1" si="2"/>
        <v>-</v>
      </c>
      <c r="T9" s="84"/>
    </row>
    <row r="10" spans="1:20" ht="15.95" customHeight="1" x14ac:dyDescent="0.25">
      <c r="A10" s="325" t="s">
        <v>756</v>
      </c>
      <c r="B10" s="18">
        <v>45291</v>
      </c>
      <c r="C10" s="325" t="s">
        <v>785</v>
      </c>
      <c r="D10" s="326" t="s">
        <v>757</v>
      </c>
      <c r="E10" s="327">
        <v>4248291.34</v>
      </c>
      <c r="F10" s="328" t="s">
        <v>51</v>
      </c>
      <c r="G10" s="328" t="s">
        <v>51</v>
      </c>
      <c r="H10" s="328" t="s">
        <v>57</v>
      </c>
      <c r="I10" s="329" t="s">
        <v>169</v>
      </c>
      <c r="J10" s="328">
        <v>4248291.34</v>
      </c>
      <c r="K10" s="18">
        <v>45291</v>
      </c>
      <c r="L10" s="99" cm="1">
        <f t="array" aca="1" ref="L10" ca="1">IF($Q10="N",0,SUMIFS(IncIncl,IncDocDate,"&lt;="&amp;$M$2,IncInvoice,$A10)-SUMIFS(IncPayAmount,IncDocDate,"&lt;="&amp;$M$2,IncPayDate,"&lt;="&amp;$M$2,IncInvoice,$A10))</f>
        <v>0</v>
      </c>
      <c r="M10" s="34" cm="1">
        <f t="array" aca="1" ref="M10" ca="1">$P10-IF(IncTaxCount=2,SUM(N10:O10),SUM(N10:N10))</f>
        <v>4248291.34</v>
      </c>
      <c r="N10" s="34">
        <f ca="1">$P10/(1+IF(ISERROR($F10),0,IF(ISNA(MATCH($F10,TaxCode,0)),0,OFFSET(Setup!$D$23,MATCH($F10,TaxCode,0),0,1,1)))+IF(ISERROR($G10),0,IF(ISNA(MATCH($G10,TaxCode,0)),0,OFFSET(Setup!$D$23,MATCH($G10,TaxCode,0),0,1,1))))*IF(ISERROR($F10),0,IF(ISNA(MATCH($F10,TaxCode,0)),0,OFFSET(Setup!$D$23,MATCH($F10,TaxCode,0),0,1,1)))</f>
        <v>0</v>
      </c>
      <c r="O10" s="34">
        <f ca="1">$P10/(1+IF(ISERROR($F10),0,IF(ISNA(MATCH($F10,TaxCode,0)),0,OFFSET(Setup!$D$23,MATCH($F10,TaxCode,0),0,1,1)))+IF(ISERROR($G10),0,IF(ISNA(MATCH($G10,TaxCode,0)),0,OFFSET(Setup!$D$23,MATCH($G10,TaxCode,0),0,1,1))))*IF(ISERROR($G10),0,IF(ISNA(MATCH($G10,TaxCode,0)),0,OFFSET(Setup!$D$23,MATCH($G10,TaxCode,0),0,1,1)))</f>
        <v>0</v>
      </c>
      <c r="P10" s="34">
        <f t="shared" si="0"/>
        <v>4248291.34</v>
      </c>
      <c r="Q10" s="86" t="str">
        <f t="shared" si="1"/>
        <v>Y</v>
      </c>
      <c r="R10" s="86" cm="1">
        <f t="array" ref="R10">IF($Q10="N",0,IF(ROUND(SUMIFS(IncIncl,IncDocDate,"&lt;="&amp;$R$2,IncInvoice,$A10,IncCus,$R$1)-SUMIFS(IncPayAmount,IncDocDate,"&lt;="&amp;$R$2,IncPayDate,"&lt;="&amp;$R$2,IncInvoice,$A10,IncCus,$R$1),2)=0,0,1))</f>
        <v>0</v>
      </c>
      <c r="S10" s="99" t="str">
        <f t="shared" ca="1" si="2"/>
        <v>-</v>
      </c>
    </row>
    <row r="11" spans="1:20" ht="15.95" hidden="1" customHeight="1" x14ac:dyDescent="0.25">
      <c r="A11" s="325" t="s">
        <v>756</v>
      </c>
      <c r="B11" s="18">
        <v>45291</v>
      </c>
      <c r="C11" s="325" t="s">
        <v>785</v>
      </c>
      <c r="D11" s="326" t="s">
        <v>757</v>
      </c>
      <c r="E11" s="327">
        <v>0</v>
      </c>
      <c r="F11" s="328" t="s">
        <v>51</v>
      </c>
      <c r="G11" s="328" t="s">
        <v>51</v>
      </c>
      <c r="H11" s="328" t="s">
        <v>58</v>
      </c>
      <c r="I11" s="329" t="s">
        <v>169</v>
      </c>
      <c r="J11" s="328">
        <v>0</v>
      </c>
      <c r="K11" s="18">
        <v>45291</v>
      </c>
      <c r="L11" s="99" cm="1">
        <f t="array" ref="L11">IF($Q11="N",0,SUMIFS(IncIncl,IncDocDate,"&lt;="&amp;$M$2,IncInvoice,$A11)-SUMIFS(IncPayAmount,IncDocDate,"&lt;="&amp;$M$2,IncPayDate,"&lt;="&amp;$M$2,IncInvoice,$A11))</f>
        <v>0</v>
      </c>
      <c r="M11" s="34" cm="1">
        <f t="array" aca="1" ref="M11" ca="1">$P11-IF(IncTaxCount=2,SUM(N11:O11),SUM(N11:N11))</f>
        <v>0</v>
      </c>
      <c r="N11" s="34">
        <f ca="1">$P11/(1+IF(ISERROR($F11),0,IF(ISNA(MATCH($F11,TaxCode,0)),0,OFFSET(Setup!$D$23,MATCH($F11,TaxCode,0),0,1,1)))+IF(ISERROR($G11),0,IF(ISNA(MATCH($G11,TaxCode,0)),0,OFFSET(Setup!$D$23,MATCH($G11,TaxCode,0),0,1,1))))*IF(ISERROR($F11),0,IF(ISNA(MATCH($F11,TaxCode,0)),0,OFFSET(Setup!$D$23,MATCH($F11,TaxCode,0),0,1,1)))</f>
        <v>0</v>
      </c>
      <c r="O11" s="34">
        <f ca="1">$P11/(1+IF(ISERROR($F11),0,IF(ISNA(MATCH($F11,TaxCode,0)),0,OFFSET(Setup!$D$23,MATCH($F11,TaxCode,0),0,1,1)))+IF(ISERROR($G11),0,IF(ISNA(MATCH($G11,TaxCode,0)),0,OFFSET(Setup!$D$23,MATCH($G11,TaxCode,0),0,1,1))))*IF(ISERROR($G11),0,IF(ISNA(MATCH($G11,TaxCode,0)),0,OFFSET(Setup!$D$23,MATCH($G11,TaxCode,0),0,1,1)))</f>
        <v>0</v>
      </c>
      <c r="P11" s="34">
        <f t="shared" si="0"/>
        <v>0</v>
      </c>
      <c r="Q11" s="86" t="str">
        <f t="shared" si="1"/>
        <v>N</v>
      </c>
      <c r="R11" s="86" cm="1">
        <f t="array" ref="R11">IF($Q11="N",0,IF(ROUND(SUMIFS(IncIncl,IncDocDate,"&lt;="&amp;$R$2,IncInvoice,$A11,IncCus,$R$1)-SUMIFS(IncPayAmount,IncDocDate,"&lt;="&amp;$R$2,IncPayDate,"&lt;="&amp;$R$2,IncInvoice,$A11,IncCus,$R$1),2)=0,0,1))</f>
        <v>0</v>
      </c>
      <c r="S11" s="99" t="str">
        <f t="shared" ca="1" si="2"/>
        <v>-</v>
      </c>
    </row>
    <row r="12" spans="1:20" ht="15.95" hidden="1" customHeight="1" x14ac:dyDescent="0.25">
      <c r="A12" s="325" t="s">
        <v>756</v>
      </c>
      <c r="B12" s="18">
        <v>45291</v>
      </c>
      <c r="C12" s="325" t="s">
        <v>785</v>
      </c>
      <c r="D12" s="326" t="s">
        <v>757</v>
      </c>
      <c r="E12" s="327">
        <v>0</v>
      </c>
      <c r="F12" s="328" t="s">
        <v>51</v>
      </c>
      <c r="G12" s="328" t="s">
        <v>51</v>
      </c>
      <c r="H12" s="328" t="s">
        <v>59</v>
      </c>
      <c r="I12" s="329" t="s">
        <v>169</v>
      </c>
      <c r="J12" s="328">
        <v>0</v>
      </c>
      <c r="K12" s="18">
        <v>45291</v>
      </c>
      <c r="L12" s="99" cm="1">
        <f t="array" ref="L12">IF($Q12="N",0,SUMIFS(IncIncl,IncDocDate,"&lt;="&amp;$M$2,IncInvoice,$A12)-SUMIFS(IncPayAmount,IncDocDate,"&lt;="&amp;$M$2,IncPayDate,"&lt;="&amp;$M$2,IncInvoice,$A12))</f>
        <v>0</v>
      </c>
      <c r="M12" s="34" cm="1">
        <f t="array" aca="1" ref="M12" ca="1">$P12-IF(IncTaxCount=2,SUM(N12:O12),SUM(N12:N12))</f>
        <v>0</v>
      </c>
      <c r="N12" s="34">
        <f ca="1">$P12/(1+IF(ISERROR($F12),0,IF(ISNA(MATCH($F12,TaxCode,0)),0,OFFSET(Setup!$D$23,MATCH($F12,TaxCode,0),0,1,1)))+IF(ISERROR($G12),0,IF(ISNA(MATCH($G12,TaxCode,0)),0,OFFSET(Setup!$D$23,MATCH($G12,TaxCode,0),0,1,1))))*IF(ISERROR($F12),0,IF(ISNA(MATCH($F12,TaxCode,0)),0,OFFSET(Setup!$D$23,MATCH($F12,TaxCode,0),0,1,1)))</f>
        <v>0</v>
      </c>
      <c r="O12" s="34">
        <f ca="1">$P12/(1+IF(ISERROR($F12),0,IF(ISNA(MATCH($F12,TaxCode,0)),0,OFFSET(Setup!$D$23,MATCH($F12,TaxCode,0),0,1,1)))+IF(ISERROR($G12),0,IF(ISNA(MATCH($G12,TaxCode,0)),0,OFFSET(Setup!$D$23,MATCH($G12,TaxCode,0),0,1,1))))*IF(ISERROR($G12),0,IF(ISNA(MATCH($G12,TaxCode,0)),0,OFFSET(Setup!$D$23,MATCH($G12,TaxCode,0),0,1,1)))</f>
        <v>0</v>
      </c>
      <c r="P12" s="34">
        <f t="shared" si="0"/>
        <v>0</v>
      </c>
      <c r="Q12" s="86" t="str">
        <f t="shared" si="1"/>
        <v>N</v>
      </c>
      <c r="R12" s="86" cm="1">
        <f t="array" ref="R12">IF($Q12="N",0,IF(ROUND(SUMIFS(IncIncl,IncDocDate,"&lt;="&amp;$R$2,IncInvoice,$A12,IncCus,$R$1)-SUMIFS(IncPayAmount,IncDocDate,"&lt;="&amp;$R$2,IncPayDate,"&lt;="&amp;$R$2,IncInvoice,$A12,IncCus,$R$1),2)=0,0,1))</f>
        <v>0</v>
      </c>
      <c r="S12" s="99" t="str">
        <f t="shared" ca="1" si="2"/>
        <v>-</v>
      </c>
    </row>
    <row r="13" spans="1:20" ht="15.95" hidden="1" customHeight="1" x14ac:dyDescent="0.25">
      <c r="A13" s="325" t="s">
        <v>756</v>
      </c>
      <c r="B13" s="18">
        <v>45291</v>
      </c>
      <c r="C13" s="325" t="s">
        <v>785</v>
      </c>
      <c r="D13" s="326" t="s">
        <v>757</v>
      </c>
      <c r="E13" s="327">
        <v>0</v>
      </c>
      <c r="F13" s="328" t="s">
        <v>51</v>
      </c>
      <c r="G13" s="328" t="s">
        <v>51</v>
      </c>
      <c r="H13" s="328" t="s">
        <v>673</v>
      </c>
      <c r="I13" s="329" t="s">
        <v>169</v>
      </c>
      <c r="J13" s="328">
        <v>0</v>
      </c>
      <c r="K13" s="18">
        <v>45291</v>
      </c>
      <c r="L13" s="99" cm="1">
        <f t="array" ref="L13">IF($Q13="N",0,SUMIFS(IncIncl,IncDocDate,"&lt;="&amp;$M$2,IncInvoice,$A13)-SUMIFS(IncPayAmount,IncDocDate,"&lt;="&amp;$M$2,IncPayDate,"&lt;="&amp;$M$2,IncInvoice,$A13))</f>
        <v>0</v>
      </c>
      <c r="M13" s="34" cm="1">
        <f t="array" aca="1" ref="M13" ca="1">$P13-IF(IncTaxCount=2,SUM(N13:O13),SUM(N13:N13))</f>
        <v>0</v>
      </c>
      <c r="N13" s="34">
        <f ca="1">$P13/(1+IF(ISERROR($F13),0,IF(ISNA(MATCH($F13,TaxCode,0)),0,OFFSET(Setup!$D$23,MATCH($F13,TaxCode,0),0,1,1)))+IF(ISERROR($G13),0,IF(ISNA(MATCH($G13,TaxCode,0)),0,OFFSET(Setup!$D$23,MATCH($G13,TaxCode,0),0,1,1))))*IF(ISERROR($F13),0,IF(ISNA(MATCH($F13,TaxCode,0)),0,OFFSET(Setup!$D$23,MATCH($F13,TaxCode,0),0,1,1)))</f>
        <v>0</v>
      </c>
      <c r="O13" s="34">
        <f ca="1">$P13/(1+IF(ISERROR($F13),0,IF(ISNA(MATCH($F13,TaxCode,0)),0,OFFSET(Setup!$D$23,MATCH($F13,TaxCode,0),0,1,1)))+IF(ISERROR($G13),0,IF(ISNA(MATCH($G13,TaxCode,0)),0,OFFSET(Setup!$D$23,MATCH($G13,TaxCode,0),0,1,1))))*IF(ISERROR($G13),0,IF(ISNA(MATCH($G13,TaxCode,0)),0,OFFSET(Setup!$D$23,MATCH($G13,TaxCode,0),0,1,1)))</f>
        <v>0</v>
      </c>
      <c r="P13" s="34">
        <f t="shared" si="0"/>
        <v>0</v>
      </c>
      <c r="Q13" s="86" t="str">
        <f t="shared" si="1"/>
        <v>N</v>
      </c>
      <c r="R13" s="86" cm="1">
        <f t="array" ref="R13">IF($Q13="N",0,IF(ROUND(SUMIFS(IncIncl,IncDocDate,"&lt;="&amp;$R$2,IncInvoice,$A13,IncCus,$R$1)-SUMIFS(IncPayAmount,IncDocDate,"&lt;="&amp;$R$2,IncPayDate,"&lt;="&amp;$R$2,IncInvoice,$A13,IncCus,$R$1),2)=0,0,1))</f>
        <v>0</v>
      </c>
      <c r="S13" s="99" t="str">
        <f t="shared" ca="1" si="2"/>
        <v>-</v>
      </c>
    </row>
    <row r="14" spans="1:20" ht="15.95" hidden="1" customHeight="1" x14ac:dyDescent="0.25">
      <c r="A14" s="325" t="s">
        <v>756</v>
      </c>
      <c r="B14" s="18">
        <v>45291</v>
      </c>
      <c r="C14" s="325" t="s">
        <v>785</v>
      </c>
      <c r="D14" s="326" t="s">
        <v>757</v>
      </c>
      <c r="E14" s="327">
        <v>0</v>
      </c>
      <c r="F14" s="328" t="s">
        <v>51</v>
      </c>
      <c r="G14" s="328" t="s">
        <v>51</v>
      </c>
      <c r="H14" s="328" t="s">
        <v>674</v>
      </c>
      <c r="I14" s="329" t="s">
        <v>169</v>
      </c>
      <c r="J14" s="328">
        <v>0</v>
      </c>
      <c r="K14" s="18">
        <v>45291</v>
      </c>
      <c r="L14" s="99" cm="1">
        <f t="array" ref="L14">IF($Q14="N",0,SUMIFS(IncIncl,IncDocDate,"&lt;="&amp;$M$2,IncInvoice,$A14)-SUMIFS(IncPayAmount,IncDocDate,"&lt;="&amp;$M$2,IncPayDate,"&lt;="&amp;$M$2,IncInvoice,$A14))</f>
        <v>0</v>
      </c>
      <c r="M14" s="34" cm="1">
        <f t="array" aca="1" ref="M14" ca="1">$P14-IF(IncTaxCount=2,SUM(N14:O14),SUM(N14:N14))</f>
        <v>0</v>
      </c>
      <c r="N14" s="34">
        <f ca="1">$P14/(1+IF(ISERROR($F14),0,IF(ISNA(MATCH($F14,TaxCode,0)),0,OFFSET(Setup!$D$23,MATCH($F14,TaxCode,0),0,1,1)))+IF(ISERROR($G14),0,IF(ISNA(MATCH($G14,TaxCode,0)),0,OFFSET(Setup!$D$23,MATCH($G14,TaxCode,0),0,1,1))))*IF(ISERROR($F14),0,IF(ISNA(MATCH($F14,TaxCode,0)),0,OFFSET(Setup!$D$23,MATCH($F14,TaxCode,0),0,1,1)))</f>
        <v>0</v>
      </c>
      <c r="O14" s="34">
        <f ca="1">$P14/(1+IF(ISERROR($F14),0,IF(ISNA(MATCH($F14,TaxCode,0)),0,OFFSET(Setup!$D$23,MATCH($F14,TaxCode,0),0,1,1)))+IF(ISERROR($G14),0,IF(ISNA(MATCH($G14,TaxCode,0)),0,OFFSET(Setup!$D$23,MATCH($G14,TaxCode,0),0,1,1))))*IF(ISERROR($G14),0,IF(ISNA(MATCH($G14,TaxCode,0)),0,OFFSET(Setup!$D$23,MATCH($G14,TaxCode,0),0,1,1)))</f>
        <v>0</v>
      </c>
      <c r="P14" s="34">
        <f t="shared" si="0"/>
        <v>0</v>
      </c>
      <c r="Q14" s="86" t="str">
        <f t="shared" si="1"/>
        <v>N</v>
      </c>
      <c r="R14" s="86" cm="1">
        <f t="array" ref="R14">IF($Q14="N",0,IF(ROUND(SUMIFS(IncIncl,IncDocDate,"&lt;="&amp;$R$2,IncInvoice,$A14,IncCus,$R$1)-SUMIFS(IncPayAmount,IncDocDate,"&lt;="&amp;$R$2,IncPayDate,"&lt;="&amp;$R$2,IncInvoice,$A14,IncCus,$R$1),2)=0,0,1))</f>
        <v>0</v>
      </c>
      <c r="S14" s="99" t="str">
        <f t="shared" ca="1" si="2"/>
        <v>-</v>
      </c>
    </row>
    <row r="15" spans="1:20" ht="15.95" hidden="1" customHeight="1" x14ac:dyDescent="0.25">
      <c r="A15" s="325" t="s">
        <v>756</v>
      </c>
      <c r="B15" s="18">
        <v>45291</v>
      </c>
      <c r="C15" s="325" t="s">
        <v>785</v>
      </c>
      <c r="D15" s="326" t="s">
        <v>757</v>
      </c>
      <c r="E15" s="327">
        <v>0</v>
      </c>
      <c r="F15" s="328" t="s">
        <v>51</v>
      </c>
      <c r="G15" s="328" t="s">
        <v>51</v>
      </c>
      <c r="H15" s="328" t="s">
        <v>675</v>
      </c>
      <c r="I15" s="329" t="s">
        <v>169</v>
      </c>
      <c r="J15" s="328">
        <v>0</v>
      </c>
      <c r="K15" s="18">
        <v>45291</v>
      </c>
      <c r="L15" s="99" cm="1">
        <f t="array" ref="L15">IF($Q15="N",0,SUMIFS(IncIncl,IncDocDate,"&lt;="&amp;$M$2,IncInvoice,$A15)-SUMIFS(IncPayAmount,IncDocDate,"&lt;="&amp;$M$2,IncPayDate,"&lt;="&amp;$M$2,IncInvoice,$A15))</f>
        <v>0</v>
      </c>
      <c r="M15" s="34" cm="1">
        <f t="array" aca="1" ref="M15" ca="1">$P15-IF(IncTaxCount=2,SUM(N15:O15),SUM(N15:N15))</f>
        <v>0</v>
      </c>
      <c r="N15" s="34">
        <f ca="1">$P15/(1+IF(ISERROR($F15),0,IF(ISNA(MATCH($F15,TaxCode,0)),0,OFFSET(Setup!$D$23,MATCH($F15,TaxCode,0),0,1,1)))+IF(ISERROR($G15),0,IF(ISNA(MATCH($G15,TaxCode,0)),0,OFFSET(Setup!$D$23,MATCH($G15,TaxCode,0),0,1,1))))*IF(ISERROR($F15),0,IF(ISNA(MATCH($F15,TaxCode,0)),0,OFFSET(Setup!$D$23,MATCH($F15,TaxCode,0),0,1,1)))</f>
        <v>0</v>
      </c>
      <c r="O15" s="34">
        <f ca="1">$P15/(1+IF(ISERROR($F15),0,IF(ISNA(MATCH($F15,TaxCode,0)),0,OFFSET(Setup!$D$23,MATCH($F15,TaxCode,0),0,1,1)))+IF(ISERROR($G15),0,IF(ISNA(MATCH($G15,TaxCode,0)),0,OFFSET(Setup!$D$23,MATCH($G15,TaxCode,0),0,1,1))))*IF(ISERROR($G15),0,IF(ISNA(MATCH($G15,TaxCode,0)),0,OFFSET(Setup!$D$23,MATCH($G15,TaxCode,0),0,1,1)))</f>
        <v>0</v>
      </c>
      <c r="P15" s="34">
        <f t="shared" si="0"/>
        <v>0</v>
      </c>
      <c r="Q15" s="86" t="str">
        <f t="shared" si="1"/>
        <v>N</v>
      </c>
      <c r="R15" s="86" cm="1">
        <f t="array" ref="R15">IF($Q15="N",0,IF(ROUND(SUMIFS(IncIncl,IncDocDate,"&lt;="&amp;$R$2,IncInvoice,$A15,IncCus,$R$1)-SUMIFS(IncPayAmount,IncDocDate,"&lt;="&amp;$R$2,IncPayDate,"&lt;="&amp;$R$2,IncInvoice,$A15,IncCus,$R$1),2)=0,0,1))</f>
        <v>0</v>
      </c>
      <c r="S15" s="99" t="str">
        <f t="shared" ca="1" si="2"/>
        <v>-</v>
      </c>
    </row>
    <row r="16" spans="1:20" ht="15.95" hidden="1" customHeight="1" x14ac:dyDescent="0.25">
      <c r="A16" s="325" t="s">
        <v>756</v>
      </c>
      <c r="B16" s="18">
        <v>45291</v>
      </c>
      <c r="C16" s="325" t="s">
        <v>785</v>
      </c>
      <c r="D16" s="326" t="s">
        <v>757</v>
      </c>
      <c r="E16" s="327">
        <v>0</v>
      </c>
      <c r="F16" s="328" t="s">
        <v>51</v>
      </c>
      <c r="G16" s="328" t="s">
        <v>51</v>
      </c>
      <c r="H16" s="328" t="s">
        <v>676</v>
      </c>
      <c r="I16" s="329" t="s">
        <v>169</v>
      </c>
      <c r="J16" s="328">
        <v>0</v>
      </c>
      <c r="K16" s="18">
        <v>45291</v>
      </c>
      <c r="L16" s="99" cm="1">
        <f t="array" ref="L16">IF($Q16="N",0,SUMIFS(IncIncl,IncDocDate,"&lt;="&amp;$M$2,IncInvoice,$A16)-SUMIFS(IncPayAmount,IncDocDate,"&lt;="&amp;$M$2,IncPayDate,"&lt;="&amp;$M$2,IncInvoice,$A16))</f>
        <v>0</v>
      </c>
      <c r="M16" s="34" cm="1">
        <f t="array" aca="1" ref="M16" ca="1">$P16-IF(IncTaxCount=2,SUM(N16:O16),SUM(N16:N16))</f>
        <v>0</v>
      </c>
      <c r="N16" s="34">
        <f ca="1">$P16/(1+IF(ISERROR($F16),0,IF(ISNA(MATCH($F16,TaxCode,0)),0,OFFSET(Setup!$D$23,MATCH($F16,TaxCode,0),0,1,1)))+IF(ISERROR($G16),0,IF(ISNA(MATCH($G16,TaxCode,0)),0,OFFSET(Setup!$D$23,MATCH($G16,TaxCode,0),0,1,1))))*IF(ISERROR($F16),0,IF(ISNA(MATCH($F16,TaxCode,0)),0,OFFSET(Setup!$D$23,MATCH($F16,TaxCode,0),0,1,1)))</f>
        <v>0</v>
      </c>
      <c r="O16" s="34">
        <f ca="1">$P16/(1+IF(ISERROR($F16),0,IF(ISNA(MATCH($F16,TaxCode,0)),0,OFFSET(Setup!$D$23,MATCH($F16,TaxCode,0),0,1,1)))+IF(ISERROR($G16),0,IF(ISNA(MATCH($G16,TaxCode,0)),0,OFFSET(Setup!$D$23,MATCH($G16,TaxCode,0),0,1,1))))*IF(ISERROR($G16),0,IF(ISNA(MATCH($G16,TaxCode,0)),0,OFFSET(Setup!$D$23,MATCH($G16,TaxCode,0),0,1,1)))</f>
        <v>0</v>
      </c>
      <c r="P16" s="34">
        <f t="shared" si="0"/>
        <v>0</v>
      </c>
      <c r="Q16" s="86" t="str">
        <f t="shared" si="1"/>
        <v>N</v>
      </c>
      <c r="R16" s="86" cm="1">
        <f t="array" ref="R16">IF($Q16="N",0,IF(ROUND(SUMIFS(IncIncl,IncDocDate,"&lt;="&amp;$R$2,IncInvoice,$A16,IncCus,$R$1)-SUMIFS(IncPayAmount,IncDocDate,"&lt;="&amp;$R$2,IncPayDate,"&lt;="&amp;$R$2,IncInvoice,$A16,IncCus,$R$1),2)=0,0,1))</f>
        <v>0</v>
      </c>
      <c r="S16" s="99" t="str">
        <f t="shared" ca="1" si="2"/>
        <v>-</v>
      </c>
    </row>
    <row r="17" spans="1:19" ht="15.95" hidden="1" customHeight="1" x14ac:dyDescent="0.25">
      <c r="A17" s="325" t="s">
        <v>756</v>
      </c>
      <c r="B17" s="18">
        <v>45291</v>
      </c>
      <c r="C17" s="325" t="s">
        <v>785</v>
      </c>
      <c r="D17" s="326" t="s">
        <v>757</v>
      </c>
      <c r="E17" s="327">
        <v>0</v>
      </c>
      <c r="F17" s="328" t="s">
        <v>51</v>
      </c>
      <c r="G17" s="328" t="s">
        <v>51</v>
      </c>
      <c r="H17" s="328" t="s">
        <v>677</v>
      </c>
      <c r="I17" s="329" t="s">
        <v>169</v>
      </c>
      <c r="J17" s="328">
        <v>0</v>
      </c>
      <c r="K17" s="18">
        <v>45291</v>
      </c>
      <c r="L17" s="99" cm="1">
        <f t="array" ref="L17">IF($Q17="N",0,SUMIFS(IncIncl,IncDocDate,"&lt;="&amp;$M$2,IncInvoice,$A17)-SUMIFS(IncPayAmount,IncDocDate,"&lt;="&amp;$M$2,IncPayDate,"&lt;="&amp;$M$2,IncInvoice,$A17))</f>
        <v>0</v>
      </c>
      <c r="M17" s="34" cm="1">
        <f t="array" aca="1" ref="M17" ca="1">$P17-IF(IncTaxCount=2,SUM(N17:O17),SUM(N17:N17))</f>
        <v>0</v>
      </c>
      <c r="N17" s="34">
        <f ca="1">$P17/(1+IF(ISERROR($F17),0,IF(ISNA(MATCH($F17,TaxCode,0)),0,OFFSET(Setup!$D$23,MATCH($F17,TaxCode,0),0,1,1)))+IF(ISERROR($G17),0,IF(ISNA(MATCH($G17,TaxCode,0)),0,OFFSET(Setup!$D$23,MATCH($G17,TaxCode,0),0,1,1))))*IF(ISERROR($F17),0,IF(ISNA(MATCH($F17,TaxCode,0)),0,OFFSET(Setup!$D$23,MATCH($F17,TaxCode,0),0,1,1)))</f>
        <v>0</v>
      </c>
      <c r="O17" s="34">
        <f ca="1">$P17/(1+IF(ISERROR($F17),0,IF(ISNA(MATCH($F17,TaxCode,0)),0,OFFSET(Setup!$D$23,MATCH($F17,TaxCode,0),0,1,1)))+IF(ISERROR($G17),0,IF(ISNA(MATCH($G17,TaxCode,0)),0,OFFSET(Setup!$D$23,MATCH($G17,TaxCode,0),0,1,1))))*IF(ISERROR($G17),0,IF(ISNA(MATCH($G17,TaxCode,0)),0,OFFSET(Setup!$D$23,MATCH($G17,TaxCode,0),0,1,1)))</f>
        <v>0</v>
      </c>
      <c r="P17" s="34">
        <f t="shared" si="0"/>
        <v>0</v>
      </c>
      <c r="Q17" s="86" t="str">
        <f t="shared" si="1"/>
        <v>N</v>
      </c>
      <c r="R17" s="86" cm="1">
        <f t="array" ref="R17">IF($Q17="N",0,IF(ROUND(SUMIFS(IncIncl,IncDocDate,"&lt;="&amp;$R$2,IncInvoice,$A17,IncCus,$R$1)-SUMIFS(IncPayAmount,IncDocDate,"&lt;="&amp;$R$2,IncPayDate,"&lt;="&amp;$R$2,IncInvoice,$A17,IncCus,$R$1),2)=0,0,1))</f>
        <v>0</v>
      </c>
      <c r="S17" s="99" t="str">
        <f t="shared" ca="1" si="2"/>
        <v>-</v>
      </c>
    </row>
    <row r="18" spans="1:19" ht="15.95" hidden="1" customHeight="1" x14ac:dyDescent="0.25">
      <c r="A18" s="325" t="s">
        <v>756</v>
      </c>
      <c r="B18" s="18">
        <v>45291</v>
      </c>
      <c r="C18" s="325" t="s">
        <v>785</v>
      </c>
      <c r="D18" s="326" t="s">
        <v>757</v>
      </c>
      <c r="E18" s="327">
        <v>0</v>
      </c>
      <c r="F18" s="328" t="s">
        <v>51</v>
      </c>
      <c r="G18" s="328" t="s">
        <v>51</v>
      </c>
      <c r="H18" s="328" t="s">
        <v>678</v>
      </c>
      <c r="I18" s="329" t="s">
        <v>169</v>
      </c>
      <c r="J18" s="328">
        <v>0</v>
      </c>
      <c r="K18" s="18">
        <v>45291</v>
      </c>
      <c r="L18" s="99" cm="1">
        <f t="array" ref="L18">IF($Q18="N",0,SUMIFS(IncIncl,IncDocDate,"&lt;="&amp;$M$2,IncInvoice,$A18)-SUMIFS(IncPayAmount,IncDocDate,"&lt;="&amp;$M$2,IncPayDate,"&lt;="&amp;$M$2,IncInvoice,$A18))</f>
        <v>0</v>
      </c>
      <c r="M18" s="34" cm="1">
        <f t="array" aca="1" ref="M18" ca="1">$P18-IF(IncTaxCount=2,SUM(N18:O18),SUM(N18:N18))</f>
        <v>0</v>
      </c>
      <c r="N18" s="34">
        <f ca="1">$P18/(1+IF(ISERROR($F18),0,IF(ISNA(MATCH($F18,TaxCode,0)),0,OFFSET(Setup!$D$23,MATCH($F18,TaxCode,0),0,1,1)))+IF(ISERROR($G18),0,IF(ISNA(MATCH($G18,TaxCode,0)),0,OFFSET(Setup!$D$23,MATCH($G18,TaxCode,0),0,1,1))))*IF(ISERROR($F18),0,IF(ISNA(MATCH($F18,TaxCode,0)),0,OFFSET(Setup!$D$23,MATCH($F18,TaxCode,0),0,1,1)))</f>
        <v>0</v>
      </c>
      <c r="O18" s="34">
        <f ca="1">$P18/(1+IF(ISERROR($F18),0,IF(ISNA(MATCH($F18,TaxCode,0)),0,OFFSET(Setup!$D$23,MATCH($F18,TaxCode,0),0,1,1)))+IF(ISERROR($G18),0,IF(ISNA(MATCH($G18,TaxCode,0)),0,OFFSET(Setup!$D$23,MATCH($G18,TaxCode,0),0,1,1))))*IF(ISERROR($G18),0,IF(ISNA(MATCH($G18,TaxCode,0)),0,OFFSET(Setup!$D$23,MATCH($G18,TaxCode,0),0,1,1)))</f>
        <v>0</v>
      </c>
      <c r="P18" s="34">
        <f t="shared" si="0"/>
        <v>0</v>
      </c>
      <c r="Q18" s="86" t="str">
        <f t="shared" si="1"/>
        <v>N</v>
      </c>
      <c r="R18" s="86" cm="1">
        <f t="array" ref="R18">IF($Q18="N",0,IF(ROUND(SUMIFS(IncIncl,IncDocDate,"&lt;="&amp;$R$2,IncInvoice,$A18,IncCus,$R$1)-SUMIFS(IncPayAmount,IncDocDate,"&lt;="&amp;$R$2,IncPayDate,"&lt;="&amp;$R$2,IncInvoice,$A18,IncCus,$R$1),2)=0,0,1))</f>
        <v>0</v>
      </c>
      <c r="S18" s="99" t="str">
        <f t="shared" ca="1" si="2"/>
        <v>-</v>
      </c>
    </row>
    <row r="19" spans="1:19" ht="15.95" hidden="1" customHeight="1" x14ac:dyDescent="0.25">
      <c r="A19" s="325" t="s">
        <v>756</v>
      </c>
      <c r="B19" s="18">
        <v>45291</v>
      </c>
      <c r="C19" s="325" t="s">
        <v>785</v>
      </c>
      <c r="D19" s="326" t="s">
        <v>757</v>
      </c>
      <c r="E19" s="327">
        <v>0</v>
      </c>
      <c r="F19" s="328" t="s">
        <v>51</v>
      </c>
      <c r="G19" s="328" t="s">
        <v>51</v>
      </c>
      <c r="H19" s="328" t="s">
        <v>679</v>
      </c>
      <c r="I19" s="329" t="s">
        <v>169</v>
      </c>
      <c r="J19" s="328">
        <v>0</v>
      </c>
      <c r="K19" s="18">
        <v>45291</v>
      </c>
      <c r="L19" s="99" cm="1">
        <f t="array" ref="L19">IF($Q19="N",0,SUMIFS(IncIncl,IncDocDate,"&lt;="&amp;$M$2,IncInvoice,$A19)-SUMIFS(IncPayAmount,IncDocDate,"&lt;="&amp;$M$2,IncPayDate,"&lt;="&amp;$M$2,IncInvoice,$A19))</f>
        <v>0</v>
      </c>
      <c r="M19" s="34" cm="1">
        <f t="array" aca="1" ref="M19" ca="1">$P19-IF(IncTaxCount=2,SUM(N19:O19),SUM(N19:N19))</f>
        <v>0</v>
      </c>
      <c r="N19" s="34">
        <f ca="1">$P19/(1+IF(ISERROR($F19),0,IF(ISNA(MATCH($F19,TaxCode,0)),0,OFFSET(Setup!$D$23,MATCH($F19,TaxCode,0),0,1,1)))+IF(ISERROR($G19),0,IF(ISNA(MATCH($G19,TaxCode,0)),0,OFFSET(Setup!$D$23,MATCH($G19,TaxCode,0),0,1,1))))*IF(ISERROR($F19),0,IF(ISNA(MATCH($F19,TaxCode,0)),0,OFFSET(Setup!$D$23,MATCH($F19,TaxCode,0),0,1,1)))</f>
        <v>0</v>
      </c>
      <c r="O19" s="34">
        <f ca="1">$P19/(1+IF(ISERROR($F19),0,IF(ISNA(MATCH($F19,TaxCode,0)),0,OFFSET(Setup!$D$23,MATCH($F19,TaxCode,0),0,1,1)))+IF(ISERROR($G19),0,IF(ISNA(MATCH($G19,TaxCode,0)),0,OFFSET(Setup!$D$23,MATCH($G19,TaxCode,0),0,1,1))))*IF(ISERROR($G19),0,IF(ISNA(MATCH($G19,TaxCode,0)),0,OFFSET(Setup!$D$23,MATCH($G19,TaxCode,0),0,1,1)))</f>
        <v>0</v>
      </c>
      <c r="P19" s="34">
        <f t="shared" si="0"/>
        <v>0</v>
      </c>
      <c r="Q19" s="86" t="str">
        <f t="shared" si="1"/>
        <v>N</v>
      </c>
      <c r="R19" s="86" cm="1">
        <f t="array" ref="R19">IF($Q19="N",0,IF(ROUND(SUMIFS(IncIncl,IncDocDate,"&lt;="&amp;$R$2,IncInvoice,$A19,IncCus,$R$1)-SUMIFS(IncPayAmount,IncDocDate,"&lt;="&amp;$R$2,IncPayDate,"&lt;="&amp;$R$2,IncInvoice,$A19,IncCus,$R$1),2)=0,0,1))</f>
        <v>0</v>
      </c>
      <c r="S19" s="99" t="str">
        <f t="shared" ca="1" si="2"/>
        <v>-</v>
      </c>
    </row>
    <row r="20" spans="1:19" ht="15.95" hidden="1" customHeight="1" x14ac:dyDescent="0.25">
      <c r="A20" s="325" t="s">
        <v>756</v>
      </c>
      <c r="B20" s="18">
        <v>45291</v>
      </c>
      <c r="C20" s="325" t="s">
        <v>785</v>
      </c>
      <c r="D20" s="326" t="s">
        <v>757</v>
      </c>
      <c r="E20" s="327">
        <v>0</v>
      </c>
      <c r="F20" s="328" t="s">
        <v>51</v>
      </c>
      <c r="G20" s="328" t="s">
        <v>51</v>
      </c>
      <c r="H20" s="328" t="s">
        <v>680</v>
      </c>
      <c r="I20" s="329" t="s">
        <v>169</v>
      </c>
      <c r="J20" s="328">
        <v>0</v>
      </c>
      <c r="K20" s="18">
        <v>45291</v>
      </c>
      <c r="L20" s="99" cm="1">
        <f t="array" ref="L20">IF($Q20="N",0,SUMIFS(IncIncl,IncDocDate,"&lt;="&amp;$M$2,IncInvoice,$A20)-SUMIFS(IncPayAmount,IncDocDate,"&lt;="&amp;$M$2,IncPayDate,"&lt;="&amp;$M$2,IncInvoice,$A20))</f>
        <v>0</v>
      </c>
      <c r="M20" s="34" cm="1">
        <f t="array" aca="1" ref="M20" ca="1">$P20-IF(IncTaxCount=2,SUM(N20:O20),SUM(N20:N20))</f>
        <v>0</v>
      </c>
      <c r="N20" s="34">
        <f ca="1">$P20/(1+IF(ISERROR($F20),0,IF(ISNA(MATCH($F20,TaxCode,0)),0,OFFSET(Setup!$D$23,MATCH($F20,TaxCode,0),0,1,1)))+IF(ISERROR($G20),0,IF(ISNA(MATCH($G20,TaxCode,0)),0,OFFSET(Setup!$D$23,MATCH($G20,TaxCode,0),0,1,1))))*IF(ISERROR($F20),0,IF(ISNA(MATCH($F20,TaxCode,0)),0,OFFSET(Setup!$D$23,MATCH($F20,TaxCode,0),0,1,1)))</f>
        <v>0</v>
      </c>
      <c r="O20" s="34">
        <f ca="1">$P20/(1+IF(ISERROR($F20),0,IF(ISNA(MATCH($F20,TaxCode,0)),0,OFFSET(Setup!$D$23,MATCH($F20,TaxCode,0),0,1,1)))+IF(ISERROR($G20),0,IF(ISNA(MATCH($G20,TaxCode,0)),0,OFFSET(Setup!$D$23,MATCH($G20,TaxCode,0),0,1,1))))*IF(ISERROR($G20),0,IF(ISNA(MATCH($G20,TaxCode,0)),0,OFFSET(Setup!$D$23,MATCH($G20,TaxCode,0),0,1,1)))</f>
        <v>0</v>
      </c>
      <c r="P20" s="34">
        <f t="shared" si="0"/>
        <v>0</v>
      </c>
      <c r="Q20" s="86" t="str">
        <f t="shared" si="1"/>
        <v>N</v>
      </c>
      <c r="R20" s="86" cm="1">
        <f t="array" ref="R20">IF($Q20="N",0,IF(ROUND(SUMIFS(IncIncl,IncDocDate,"&lt;="&amp;$R$2,IncInvoice,$A20,IncCus,$R$1)-SUMIFS(IncPayAmount,IncDocDate,"&lt;="&amp;$R$2,IncPayDate,"&lt;="&amp;$R$2,IncInvoice,$A20,IncCus,$R$1),2)=0,0,1))</f>
        <v>0</v>
      </c>
      <c r="S20" s="99" t="str">
        <f t="shared" ca="1" si="2"/>
        <v>-</v>
      </c>
    </row>
    <row r="21" spans="1:19" ht="15.95" hidden="1" customHeight="1" x14ac:dyDescent="0.25">
      <c r="A21" s="325" t="s">
        <v>756</v>
      </c>
      <c r="B21" s="18">
        <v>45291</v>
      </c>
      <c r="C21" s="325" t="s">
        <v>785</v>
      </c>
      <c r="D21" s="326" t="s">
        <v>757</v>
      </c>
      <c r="E21" s="327">
        <v>0</v>
      </c>
      <c r="F21" s="328" t="s">
        <v>51</v>
      </c>
      <c r="G21" s="328" t="s">
        <v>51</v>
      </c>
      <c r="H21" s="328" t="s">
        <v>681</v>
      </c>
      <c r="I21" s="329" t="s">
        <v>169</v>
      </c>
      <c r="J21" s="328">
        <v>0</v>
      </c>
      <c r="K21" s="18">
        <v>45291</v>
      </c>
      <c r="L21" s="99" cm="1">
        <f t="array" ref="L21">IF($Q21="N",0,SUMIFS(IncIncl,IncDocDate,"&lt;="&amp;$M$2,IncInvoice,$A21)-SUMIFS(IncPayAmount,IncDocDate,"&lt;="&amp;$M$2,IncPayDate,"&lt;="&amp;$M$2,IncInvoice,$A21))</f>
        <v>0</v>
      </c>
      <c r="M21" s="34" cm="1">
        <f t="array" aca="1" ref="M21" ca="1">$P21-IF(IncTaxCount=2,SUM(N21:O21),SUM(N21:N21))</f>
        <v>0</v>
      </c>
      <c r="N21" s="34">
        <f ca="1">$P21/(1+IF(ISERROR($F21),0,IF(ISNA(MATCH($F21,TaxCode,0)),0,OFFSET(Setup!$D$23,MATCH($F21,TaxCode,0),0,1,1)))+IF(ISERROR($G21),0,IF(ISNA(MATCH($G21,TaxCode,0)),0,OFFSET(Setup!$D$23,MATCH($G21,TaxCode,0),0,1,1))))*IF(ISERROR($F21),0,IF(ISNA(MATCH($F21,TaxCode,0)),0,OFFSET(Setup!$D$23,MATCH($F21,TaxCode,0),0,1,1)))</f>
        <v>0</v>
      </c>
      <c r="O21" s="34">
        <f ca="1">$P21/(1+IF(ISERROR($F21),0,IF(ISNA(MATCH($F21,TaxCode,0)),0,OFFSET(Setup!$D$23,MATCH($F21,TaxCode,0),0,1,1)))+IF(ISERROR($G21),0,IF(ISNA(MATCH($G21,TaxCode,0)),0,OFFSET(Setup!$D$23,MATCH($G21,TaxCode,0),0,1,1))))*IF(ISERROR($G21),0,IF(ISNA(MATCH($G21,TaxCode,0)),0,OFFSET(Setup!$D$23,MATCH($G21,TaxCode,0),0,1,1)))</f>
        <v>0</v>
      </c>
      <c r="P21" s="34">
        <f t="shared" si="0"/>
        <v>0</v>
      </c>
      <c r="Q21" s="86" t="str">
        <f t="shared" si="1"/>
        <v>N</v>
      </c>
      <c r="R21" s="86" cm="1">
        <f t="array" ref="R21">IF($Q21="N",0,IF(ROUND(SUMIFS(IncIncl,IncDocDate,"&lt;="&amp;$R$2,IncInvoice,$A21,IncCus,$R$1)-SUMIFS(IncPayAmount,IncDocDate,"&lt;="&amp;$R$2,IncPayDate,"&lt;="&amp;$R$2,IncInvoice,$A21,IncCus,$R$1),2)=0,0,1))</f>
        <v>0</v>
      </c>
      <c r="S21" s="99" t="str">
        <f t="shared" ca="1" si="2"/>
        <v>-</v>
      </c>
    </row>
    <row r="22" spans="1:19" ht="15.95" hidden="1" customHeight="1" x14ac:dyDescent="0.25">
      <c r="A22" s="325" t="s">
        <v>756</v>
      </c>
      <c r="B22" s="18">
        <v>45291</v>
      </c>
      <c r="C22" s="325" t="s">
        <v>785</v>
      </c>
      <c r="D22" s="326" t="s">
        <v>757</v>
      </c>
      <c r="E22" s="327">
        <v>0</v>
      </c>
      <c r="F22" s="328" t="s">
        <v>51</v>
      </c>
      <c r="G22" s="328" t="s">
        <v>51</v>
      </c>
      <c r="H22" s="328" t="s">
        <v>682</v>
      </c>
      <c r="I22" s="329" t="s">
        <v>169</v>
      </c>
      <c r="J22" s="328">
        <v>0</v>
      </c>
      <c r="K22" s="18">
        <v>45291</v>
      </c>
      <c r="L22" s="99" cm="1">
        <f t="array" ref="L22">IF($Q22="N",0,SUMIFS(IncIncl,IncDocDate,"&lt;="&amp;$M$2,IncInvoice,$A22)-SUMIFS(IncPayAmount,IncDocDate,"&lt;="&amp;$M$2,IncPayDate,"&lt;="&amp;$M$2,IncInvoice,$A22))</f>
        <v>0</v>
      </c>
      <c r="M22" s="34" cm="1">
        <f t="array" aca="1" ref="M22" ca="1">$P22-IF(IncTaxCount=2,SUM(N22:O22),SUM(N22:N22))</f>
        <v>0</v>
      </c>
      <c r="N22" s="34">
        <f ca="1">$P22/(1+IF(ISERROR($F22),0,IF(ISNA(MATCH($F22,TaxCode,0)),0,OFFSET(Setup!$D$23,MATCH($F22,TaxCode,0),0,1,1)))+IF(ISERROR($G22),0,IF(ISNA(MATCH($G22,TaxCode,0)),0,OFFSET(Setup!$D$23,MATCH($G22,TaxCode,0),0,1,1))))*IF(ISERROR($F22),0,IF(ISNA(MATCH($F22,TaxCode,0)),0,OFFSET(Setup!$D$23,MATCH($F22,TaxCode,0),0,1,1)))</f>
        <v>0</v>
      </c>
      <c r="O22" s="34">
        <f ca="1">$P22/(1+IF(ISERROR($F22),0,IF(ISNA(MATCH($F22,TaxCode,0)),0,OFFSET(Setup!$D$23,MATCH($F22,TaxCode,0),0,1,1)))+IF(ISERROR($G22),0,IF(ISNA(MATCH($G22,TaxCode,0)),0,OFFSET(Setup!$D$23,MATCH($G22,TaxCode,0),0,1,1))))*IF(ISERROR($G22),0,IF(ISNA(MATCH($G22,TaxCode,0)),0,OFFSET(Setup!$D$23,MATCH($G22,TaxCode,0),0,1,1)))</f>
        <v>0</v>
      </c>
      <c r="P22" s="34">
        <f t="shared" si="0"/>
        <v>0</v>
      </c>
      <c r="Q22" s="86" t="str">
        <f t="shared" si="1"/>
        <v>N</v>
      </c>
      <c r="R22" s="86" cm="1">
        <f t="array" ref="R22">IF($Q22="N",0,IF(ROUND(SUMIFS(IncIncl,IncDocDate,"&lt;="&amp;$R$2,IncInvoice,$A22,IncCus,$R$1)-SUMIFS(IncPayAmount,IncDocDate,"&lt;="&amp;$R$2,IncPayDate,"&lt;="&amp;$R$2,IncInvoice,$A22,IncCus,$R$1),2)=0,0,1))</f>
        <v>0</v>
      </c>
      <c r="S22" s="99" t="str">
        <f t="shared" ca="1" si="2"/>
        <v>-</v>
      </c>
    </row>
    <row r="23" spans="1:19" ht="15.95" hidden="1" customHeight="1" x14ac:dyDescent="0.25">
      <c r="A23" s="325" t="s">
        <v>756</v>
      </c>
      <c r="B23" s="18">
        <v>45291</v>
      </c>
      <c r="C23" s="325" t="s">
        <v>785</v>
      </c>
      <c r="D23" s="326" t="s">
        <v>757</v>
      </c>
      <c r="E23" s="327">
        <v>0</v>
      </c>
      <c r="F23" s="328" t="s">
        <v>51</v>
      </c>
      <c r="G23" s="328" t="s">
        <v>51</v>
      </c>
      <c r="H23" s="328" t="s">
        <v>683</v>
      </c>
      <c r="I23" s="329" t="s">
        <v>169</v>
      </c>
      <c r="J23" s="328">
        <v>0</v>
      </c>
      <c r="K23" s="18">
        <v>45291</v>
      </c>
      <c r="L23" s="99" cm="1">
        <f t="array" ref="L23">IF($Q23="N",0,SUMIFS(IncIncl,IncDocDate,"&lt;="&amp;$M$2,IncInvoice,$A23)-SUMIFS(IncPayAmount,IncDocDate,"&lt;="&amp;$M$2,IncPayDate,"&lt;="&amp;$M$2,IncInvoice,$A23))</f>
        <v>0</v>
      </c>
      <c r="M23" s="34" cm="1">
        <f t="array" aca="1" ref="M23" ca="1">$P23-IF(IncTaxCount=2,SUM(N23:O23),SUM(N23:N23))</f>
        <v>0</v>
      </c>
      <c r="N23" s="34">
        <f ca="1">$P23/(1+IF(ISERROR($F23),0,IF(ISNA(MATCH($F23,TaxCode,0)),0,OFFSET(Setup!$D$23,MATCH($F23,TaxCode,0),0,1,1)))+IF(ISERROR($G23),0,IF(ISNA(MATCH($G23,TaxCode,0)),0,OFFSET(Setup!$D$23,MATCH($G23,TaxCode,0),0,1,1))))*IF(ISERROR($F23),0,IF(ISNA(MATCH($F23,TaxCode,0)),0,OFFSET(Setup!$D$23,MATCH($F23,TaxCode,0),0,1,1)))</f>
        <v>0</v>
      </c>
      <c r="O23" s="34">
        <f ca="1">$P23/(1+IF(ISERROR($F23),0,IF(ISNA(MATCH($F23,TaxCode,0)),0,OFFSET(Setup!$D$23,MATCH($F23,TaxCode,0),0,1,1)))+IF(ISERROR($G23),0,IF(ISNA(MATCH($G23,TaxCode,0)),0,OFFSET(Setup!$D$23,MATCH($G23,TaxCode,0),0,1,1))))*IF(ISERROR($G23),0,IF(ISNA(MATCH($G23,TaxCode,0)),0,OFFSET(Setup!$D$23,MATCH($G23,TaxCode,0),0,1,1)))</f>
        <v>0</v>
      </c>
      <c r="P23" s="34">
        <f t="shared" si="0"/>
        <v>0</v>
      </c>
      <c r="Q23" s="86" t="str">
        <f t="shared" si="1"/>
        <v>N</v>
      </c>
      <c r="R23" s="86" cm="1">
        <f t="array" ref="R23">IF($Q23="N",0,IF(ROUND(SUMIFS(IncIncl,IncDocDate,"&lt;="&amp;$R$2,IncInvoice,$A23,IncCus,$R$1)-SUMIFS(IncPayAmount,IncDocDate,"&lt;="&amp;$R$2,IncPayDate,"&lt;="&amp;$R$2,IncInvoice,$A23,IncCus,$R$1),2)=0,0,1))</f>
        <v>0</v>
      </c>
      <c r="S23" s="99" t="str">
        <f t="shared" ca="1" si="2"/>
        <v>-</v>
      </c>
    </row>
    <row r="24" spans="1:19" ht="15.95" hidden="1" customHeight="1" x14ac:dyDescent="0.25">
      <c r="A24" s="325" t="s">
        <v>756</v>
      </c>
      <c r="B24" s="18">
        <v>45291</v>
      </c>
      <c r="C24" s="325" t="s">
        <v>785</v>
      </c>
      <c r="D24" s="326" t="s">
        <v>757</v>
      </c>
      <c r="E24" s="327">
        <v>0</v>
      </c>
      <c r="F24" s="328" t="s">
        <v>51</v>
      </c>
      <c r="G24" s="328" t="s">
        <v>51</v>
      </c>
      <c r="H24" s="328" t="s">
        <v>684</v>
      </c>
      <c r="I24" s="329" t="s">
        <v>169</v>
      </c>
      <c r="J24" s="328">
        <v>0</v>
      </c>
      <c r="K24" s="18">
        <v>45291</v>
      </c>
      <c r="L24" s="99" cm="1">
        <f t="array" ref="L24">IF($Q24="N",0,SUMIFS(IncIncl,IncDocDate,"&lt;="&amp;$M$2,IncInvoice,$A24)-SUMIFS(IncPayAmount,IncDocDate,"&lt;="&amp;$M$2,IncPayDate,"&lt;="&amp;$M$2,IncInvoice,$A24))</f>
        <v>0</v>
      </c>
      <c r="M24" s="34" cm="1">
        <f t="array" aca="1" ref="M24" ca="1">$P24-IF(IncTaxCount=2,SUM(N24:O24),SUM(N24:N24))</f>
        <v>0</v>
      </c>
      <c r="N24" s="34">
        <f ca="1">$P24/(1+IF(ISERROR($F24),0,IF(ISNA(MATCH($F24,TaxCode,0)),0,OFFSET(Setup!$D$23,MATCH($F24,TaxCode,0),0,1,1)))+IF(ISERROR($G24),0,IF(ISNA(MATCH($G24,TaxCode,0)),0,OFFSET(Setup!$D$23,MATCH($G24,TaxCode,0),0,1,1))))*IF(ISERROR($F24),0,IF(ISNA(MATCH($F24,TaxCode,0)),0,OFFSET(Setup!$D$23,MATCH($F24,TaxCode,0),0,1,1)))</f>
        <v>0</v>
      </c>
      <c r="O24" s="34">
        <f ca="1">$P24/(1+IF(ISERROR($F24),0,IF(ISNA(MATCH($F24,TaxCode,0)),0,OFFSET(Setup!$D$23,MATCH($F24,TaxCode,0),0,1,1)))+IF(ISERROR($G24),0,IF(ISNA(MATCH($G24,TaxCode,0)),0,OFFSET(Setup!$D$23,MATCH($G24,TaxCode,0),0,1,1))))*IF(ISERROR($G24),0,IF(ISNA(MATCH($G24,TaxCode,0)),0,OFFSET(Setup!$D$23,MATCH($G24,TaxCode,0),0,1,1)))</f>
        <v>0</v>
      </c>
      <c r="P24" s="34">
        <f t="shared" si="0"/>
        <v>0</v>
      </c>
      <c r="Q24" s="86" t="str">
        <f t="shared" si="1"/>
        <v>N</v>
      </c>
      <c r="R24" s="86" cm="1">
        <f t="array" ref="R24">IF($Q24="N",0,IF(ROUND(SUMIFS(IncIncl,IncDocDate,"&lt;="&amp;$R$2,IncInvoice,$A24,IncCus,$R$1)-SUMIFS(IncPayAmount,IncDocDate,"&lt;="&amp;$R$2,IncPayDate,"&lt;="&amp;$R$2,IncInvoice,$A24,IncCus,$R$1),2)=0,0,1))</f>
        <v>0</v>
      </c>
      <c r="S24" s="99" t="str">
        <f t="shared" ca="1" si="2"/>
        <v>-</v>
      </c>
    </row>
    <row r="25" spans="1:19" ht="15.95" hidden="1" customHeight="1" x14ac:dyDescent="0.25">
      <c r="A25" s="325" t="s">
        <v>756</v>
      </c>
      <c r="B25" s="18">
        <v>45291</v>
      </c>
      <c r="C25" s="325" t="s">
        <v>785</v>
      </c>
      <c r="D25" s="326" t="s">
        <v>757</v>
      </c>
      <c r="E25" s="327">
        <v>0</v>
      </c>
      <c r="F25" s="328" t="s">
        <v>51</v>
      </c>
      <c r="G25" s="328" t="s">
        <v>51</v>
      </c>
      <c r="H25" s="328" t="s">
        <v>743</v>
      </c>
      <c r="I25" s="329" t="s">
        <v>169</v>
      </c>
      <c r="J25" s="328">
        <v>0</v>
      </c>
      <c r="K25" s="18">
        <v>45291</v>
      </c>
      <c r="L25" s="99" cm="1">
        <f t="array" ref="L25">IF($Q25="N",0,SUMIFS(IncIncl,IncDocDate,"&lt;="&amp;$M$2,IncInvoice,$A25)-SUMIFS(IncPayAmount,IncDocDate,"&lt;="&amp;$M$2,IncPayDate,"&lt;="&amp;$M$2,IncInvoice,$A25))</f>
        <v>0</v>
      </c>
      <c r="M25" s="34" cm="1">
        <f t="array" aca="1" ref="M25" ca="1">$P25-IF(IncTaxCount=2,SUM(N25:O25),SUM(N25:N25))</f>
        <v>0</v>
      </c>
      <c r="N25" s="34">
        <f ca="1">$P25/(1+IF(ISERROR($F25),0,IF(ISNA(MATCH($F25,TaxCode,0)),0,OFFSET(Setup!$D$23,MATCH($F25,TaxCode,0),0,1,1)))+IF(ISERROR($G25),0,IF(ISNA(MATCH($G25,TaxCode,0)),0,OFFSET(Setup!$D$23,MATCH($G25,TaxCode,0),0,1,1))))*IF(ISERROR($F25),0,IF(ISNA(MATCH($F25,TaxCode,0)),0,OFFSET(Setup!$D$23,MATCH($F25,TaxCode,0),0,1,1)))</f>
        <v>0</v>
      </c>
      <c r="O25" s="34">
        <f ca="1">$P25/(1+IF(ISERROR($F25),0,IF(ISNA(MATCH($F25,TaxCode,0)),0,OFFSET(Setup!$D$23,MATCH($F25,TaxCode,0),0,1,1)))+IF(ISERROR($G25),0,IF(ISNA(MATCH($G25,TaxCode,0)),0,OFFSET(Setup!$D$23,MATCH($G25,TaxCode,0),0,1,1))))*IF(ISERROR($G25),0,IF(ISNA(MATCH($G25,TaxCode,0)),0,OFFSET(Setup!$D$23,MATCH($G25,TaxCode,0),0,1,1)))</f>
        <v>0</v>
      </c>
      <c r="P25" s="34">
        <f t="shared" si="0"/>
        <v>0</v>
      </c>
      <c r="Q25" s="86" t="str">
        <f t="shared" si="1"/>
        <v>N</v>
      </c>
      <c r="R25" s="86" cm="1">
        <f t="array" ref="R25">IF($Q25="N",0,IF(ROUND(SUMIFS(IncIncl,IncDocDate,"&lt;="&amp;$R$2,IncInvoice,$A25,IncCus,$R$1)-SUMIFS(IncPayAmount,IncDocDate,"&lt;="&amp;$R$2,IncPayDate,"&lt;="&amp;$R$2,IncInvoice,$A25,IncCus,$R$1),2)=0,0,1))</f>
        <v>0</v>
      </c>
      <c r="S25" s="99" t="str">
        <f t="shared" ca="1" si="2"/>
        <v>-</v>
      </c>
    </row>
    <row r="26" spans="1:19" ht="15.95" hidden="1" customHeight="1" x14ac:dyDescent="0.25">
      <c r="A26" s="330" t="s">
        <v>765</v>
      </c>
      <c r="B26" s="331">
        <v>45296</v>
      </c>
      <c r="C26" s="332" t="s">
        <v>709</v>
      </c>
      <c r="D26" s="333" t="s">
        <v>766</v>
      </c>
      <c r="E26" s="334">
        <v>3936480</v>
      </c>
      <c r="F26" s="337" t="s">
        <v>654</v>
      </c>
      <c r="G26" s="335"/>
      <c r="H26" s="335" t="s">
        <v>59</v>
      </c>
      <c r="I26" s="336" t="s">
        <v>211</v>
      </c>
      <c r="J26" s="335">
        <v>3936480</v>
      </c>
      <c r="K26" s="331">
        <v>45296</v>
      </c>
      <c r="L26" s="99" cm="1">
        <f t="array" aca="1" ref="L26" ca="1">IF($Q26="N",0,SUMIFS(IncIncl,IncDocDate,"&lt;="&amp;$M$2,IncInvoice,$A26)-SUMIFS(IncPayAmount,IncDocDate,"&lt;="&amp;$M$2,IncPayDate,"&lt;="&amp;$M$2,IncInvoice,$A26))</f>
        <v>0</v>
      </c>
      <c r="M26" s="34" cm="1">
        <f t="array" aca="1" ref="M26" ca="1">$P26-IF(IncTaxCount=2,SUM(N26:O26),SUM(N26:N26))</f>
        <v>3336000</v>
      </c>
      <c r="N26" s="34">
        <f ca="1">$P26/(1+IF(ISERROR($F26),0,IF(ISNA(MATCH($F26,TaxCode,0)),0,OFFSET(Setup!$D$23,MATCH($F26,TaxCode,0),0,1,1)))+IF(ISERROR($G26),0,IF(ISNA(MATCH($G26,TaxCode,0)),0,OFFSET(Setup!$D$23,MATCH($G26,TaxCode,0),0,1,1))))*IF(ISERROR($F26),0,IF(ISNA(MATCH($F26,TaxCode,0)),0,OFFSET(Setup!$D$23,MATCH($F26,TaxCode,0),0,1,1)))</f>
        <v>600480</v>
      </c>
      <c r="O26" s="34">
        <f ca="1">$P26/(1+IF(ISERROR($F26),0,IF(ISNA(MATCH($F26,TaxCode,0)),0,OFFSET(Setup!$D$23,MATCH($F26,TaxCode,0),0,1,1)))+IF(ISERROR($G26),0,IF(ISNA(MATCH($G26,TaxCode,0)),0,OFFSET(Setup!$D$23,MATCH($G26,TaxCode,0),0,1,1))))*IF(ISERROR($G26),0,IF(ISNA(MATCH($G26,TaxCode,0)),0,OFFSET(Setup!$D$23,MATCH($G26,TaxCode,0),0,1,1)))</f>
        <v>0</v>
      </c>
      <c r="P26" s="34">
        <f t="shared" si="0"/>
        <v>3936480</v>
      </c>
      <c r="Q26" s="86" t="str">
        <f t="shared" si="1"/>
        <v>Y</v>
      </c>
      <c r="R26" s="86" cm="1">
        <f t="array" ref="R26">IF($Q26="N",0,IF(ROUND(SUMIFS(IncIncl,IncDocDate,"&lt;="&amp;$R$2,IncInvoice,$A26,IncCus,$R$1)-SUMIFS(IncPayAmount,IncDocDate,"&lt;="&amp;$R$2,IncPayDate,"&lt;="&amp;$R$2,IncInvoice,$A26,IncCus,$R$1),2)=0,0,1))</f>
        <v>0</v>
      </c>
      <c r="S26" s="99" t="str">
        <f t="shared" ca="1" si="2"/>
        <v>-</v>
      </c>
    </row>
    <row r="27" spans="1:19" ht="15.95" hidden="1" customHeight="1" x14ac:dyDescent="0.25">
      <c r="A27" s="317" t="s">
        <v>775</v>
      </c>
      <c r="B27" s="18">
        <v>45296</v>
      </c>
      <c r="C27" s="12" t="s">
        <v>728</v>
      </c>
      <c r="D27" s="318" t="s">
        <v>766</v>
      </c>
      <c r="E27" s="34">
        <v>431800</v>
      </c>
      <c r="F27" s="308" t="s">
        <v>654</v>
      </c>
      <c r="H27" s="99" t="s">
        <v>59</v>
      </c>
      <c r="I27" s="35" t="s">
        <v>211</v>
      </c>
      <c r="J27" s="99">
        <v>431800</v>
      </c>
      <c r="K27" s="18">
        <v>45296</v>
      </c>
      <c r="L27" s="99" cm="1">
        <f t="array" aca="1" ref="L27" ca="1">IF($Q27="N",0,SUMIFS(IncIncl,IncDocDate,"&lt;="&amp;$M$2,IncInvoice,$A27)-SUMIFS(IncPayAmount,IncDocDate,"&lt;="&amp;$M$2,IncPayDate,"&lt;="&amp;$M$2,IncInvoice,$A27))</f>
        <v>0</v>
      </c>
      <c r="M27" s="34" cm="1">
        <f t="array" aca="1" ref="M27" ca="1">$P27-IF(IncTaxCount=2,SUM(N27:O27),SUM(N27:N27))</f>
        <v>365932.20338983054</v>
      </c>
      <c r="N27" s="34">
        <f ca="1">$P27/(1+IF(ISERROR($F27),0,IF(ISNA(MATCH($F27,TaxCode,0)),0,OFFSET(Setup!$D$23,MATCH($F27,TaxCode,0),0,1,1)))+IF(ISERROR($G27),0,IF(ISNA(MATCH($G27,TaxCode,0)),0,OFFSET(Setup!$D$23,MATCH($G27,TaxCode,0),0,1,1))))*IF(ISERROR($F27),0,IF(ISNA(MATCH($F27,TaxCode,0)),0,OFFSET(Setup!$D$23,MATCH($F27,TaxCode,0),0,1,1)))</f>
        <v>65867.796610169491</v>
      </c>
      <c r="O27" s="34">
        <f ca="1">$P27/(1+IF(ISERROR($F27),0,IF(ISNA(MATCH($F27,TaxCode,0)),0,OFFSET(Setup!$D$23,MATCH($F27,TaxCode,0),0,1,1)))+IF(ISERROR($G27),0,IF(ISNA(MATCH($G27,TaxCode,0)),0,OFFSET(Setup!$D$23,MATCH($G27,TaxCode,0),0,1,1))))*IF(ISERROR($G27),0,IF(ISNA(MATCH($G27,TaxCode,0)),0,OFFSET(Setup!$D$23,MATCH($G27,TaxCode,0),0,1,1)))</f>
        <v>0</v>
      </c>
      <c r="P27" s="34">
        <f t="shared" si="0"/>
        <v>431800</v>
      </c>
      <c r="Q27" s="86" t="str">
        <f t="shared" si="1"/>
        <v>Y</v>
      </c>
      <c r="R27" s="86" cm="1">
        <f t="array" ref="R27">IF($Q27="N",0,IF(ROUND(SUMIFS(IncIncl,IncDocDate,"&lt;="&amp;$R$2,IncInvoice,$A27,IncCus,$R$1)-SUMIFS(IncPayAmount,IncDocDate,"&lt;="&amp;$R$2,IncPayDate,"&lt;="&amp;$R$2,IncInvoice,$A27,IncCus,$R$1),2)=0,0,1))</f>
        <v>0</v>
      </c>
      <c r="S27" s="99" t="str">
        <f t="shared" ca="1" si="2"/>
        <v>-</v>
      </c>
    </row>
    <row r="28" spans="1:19" ht="15.95" hidden="1" customHeight="1" x14ac:dyDescent="0.25">
      <c r="A28" s="330" t="s">
        <v>758</v>
      </c>
      <c r="B28" s="331">
        <v>45307</v>
      </c>
      <c r="C28" s="332" t="s">
        <v>706</v>
      </c>
      <c r="D28" s="333" t="s">
        <v>759</v>
      </c>
      <c r="E28" s="334">
        <v>488520</v>
      </c>
      <c r="F28" s="335" t="s">
        <v>654</v>
      </c>
      <c r="G28" s="335"/>
      <c r="H28" s="335" t="s">
        <v>111</v>
      </c>
      <c r="I28" s="336" t="s">
        <v>212</v>
      </c>
      <c r="J28" s="335">
        <v>488520</v>
      </c>
      <c r="K28" s="331">
        <v>45307</v>
      </c>
      <c r="L28" s="99" cm="1">
        <f t="array" aca="1" ref="L28" ca="1">IF($Q28="N",0,SUMIFS(IncIncl,IncDocDate,"&lt;="&amp;$M$2,IncInvoice,$A28)-SUMIFS(IncPayAmount,IncDocDate,"&lt;="&amp;$M$2,IncPayDate,"&lt;="&amp;$M$2,IncInvoice,$A28))</f>
        <v>0</v>
      </c>
      <c r="M28" s="34" cm="1">
        <f t="array" aca="1" ref="M28" ca="1">$P28-IF(IncTaxCount=2,SUM(N28:O28),SUM(N28:N28))</f>
        <v>414000</v>
      </c>
      <c r="N28" s="34">
        <f ca="1">$P28/(1+IF(ISERROR($F28),0,IF(ISNA(MATCH($F28,TaxCode,0)),0,OFFSET(Setup!$D$23,MATCH($F28,TaxCode,0),0,1,1)))+IF(ISERROR($G28),0,IF(ISNA(MATCH($G28,TaxCode,0)),0,OFFSET(Setup!$D$23,MATCH($G28,TaxCode,0),0,1,1))))*IF(ISERROR($F28),0,IF(ISNA(MATCH($F28,TaxCode,0)),0,OFFSET(Setup!$D$23,MATCH($F28,TaxCode,0),0,1,1)))</f>
        <v>74520</v>
      </c>
      <c r="O28" s="34">
        <f ca="1">$P28/(1+IF(ISERROR($F28),0,IF(ISNA(MATCH($F28,TaxCode,0)),0,OFFSET(Setup!$D$23,MATCH($F28,TaxCode,0),0,1,1)))+IF(ISERROR($G28),0,IF(ISNA(MATCH($G28,TaxCode,0)),0,OFFSET(Setup!$D$23,MATCH($G28,TaxCode,0),0,1,1))))*IF(ISERROR($G28),0,IF(ISNA(MATCH($G28,TaxCode,0)),0,OFFSET(Setup!$D$23,MATCH($G28,TaxCode,0),0,1,1)))</f>
        <v>0</v>
      </c>
      <c r="P28" s="34">
        <f t="shared" si="0"/>
        <v>488520</v>
      </c>
      <c r="Q28" s="86" t="str">
        <f t="shared" si="1"/>
        <v>Y</v>
      </c>
      <c r="R28" s="86" cm="1">
        <f t="array" ref="R28">IF($Q28="N",0,IF(ROUND(SUMIFS(IncIncl,IncDocDate,"&lt;="&amp;$R$2,IncInvoice,$A28,IncCus,$R$1)-SUMIFS(IncPayAmount,IncDocDate,"&lt;="&amp;$R$2,IncPayDate,"&lt;="&amp;$R$2,IncInvoice,$A28,IncCus,$R$1),2)=0,0,1))</f>
        <v>0</v>
      </c>
      <c r="S28" s="99" t="str">
        <f t="shared" ca="1" si="2"/>
        <v>-</v>
      </c>
    </row>
    <row r="29" spans="1:19" ht="15.95" hidden="1" customHeight="1" x14ac:dyDescent="0.25">
      <c r="A29" s="330" t="s">
        <v>760</v>
      </c>
      <c r="B29" s="331">
        <v>45307</v>
      </c>
      <c r="C29" s="332" t="s">
        <v>706</v>
      </c>
      <c r="D29" s="333" t="s">
        <v>761</v>
      </c>
      <c r="E29" s="334">
        <v>2213680</v>
      </c>
      <c r="F29" s="337" t="s">
        <v>654</v>
      </c>
      <c r="G29" s="335"/>
      <c r="H29" s="335" t="s">
        <v>111</v>
      </c>
      <c r="I29" s="336" t="s">
        <v>212</v>
      </c>
      <c r="J29" s="335">
        <v>2213680</v>
      </c>
      <c r="K29" s="331">
        <v>45307</v>
      </c>
      <c r="L29" s="99" cm="1">
        <f t="array" aca="1" ref="L29" ca="1">IF($Q29="N",0,SUMIFS(IncIncl,IncDocDate,"&lt;="&amp;$M$2,IncInvoice,$A29)-SUMIFS(IncPayAmount,IncDocDate,"&lt;="&amp;$M$2,IncPayDate,"&lt;="&amp;$M$2,IncInvoice,$A29))</f>
        <v>0</v>
      </c>
      <c r="M29" s="34" cm="1">
        <f t="array" aca="1" ref="M29" ca="1">$P29-IF(IncTaxCount=2,SUM(N29:O29),SUM(N29:N29))</f>
        <v>1876000</v>
      </c>
      <c r="N29" s="34">
        <f ca="1">$P29/(1+IF(ISERROR($F29),0,IF(ISNA(MATCH($F29,TaxCode,0)),0,OFFSET(Setup!$D$23,MATCH($F29,TaxCode,0),0,1,1)))+IF(ISERROR($G29),0,IF(ISNA(MATCH($G29,TaxCode,0)),0,OFFSET(Setup!$D$23,MATCH($G29,TaxCode,0),0,1,1))))*IF(ISERROR($F29),0,IF(ISNA(MATCH($F29,TaxCode,0)),0,OFFSET(Setup!$D$23,MATCH($F29,TaxCode,0),0,1,1)))</f>
        <v>337680</v>
      </c>
      <c r="O29" s="34">
        <f ca="1">$P29/(1+IF(ISERROR($F29),0,IF(ISNA(MATCH($F29,TaxCode,0)),0,OFFSET(Setup!$D$23,MATCH($F29,TaxCode,0),0,1,1)))+IF(ISERROR($G29),0,IF(ISNA(MATCH($G29,TaxCode,0)),0,OFFSET(Setup!$D$23,MATCH($G29,TaxCode,0),0,1,1))))*IF(ISERROR($G29),0,IF(ISNA(MATCH($G29,TaxCode,0)),0,OFFSET(Setup!$D$23,MATCH($G29,TaxCode,0),0,1,1)))</f>
        <v>0</v>
      </c>
      <c r="P29" s="34">
        <f t="shared" si="0"/>
        <v>2213680</v>
      </c>
      <c r="Q29" s="86" t="str">
        <f t="shared" si="1"/>
        <v>Y</v>
      </c>
      <c r="R29" s="86" cm="1">
        <f t="array" ref="R29">IF($Q29="N",0,IF(ROUND(SUMIFS(IncIncl,IncDocDate,"&lt;="&amp;$R$2,IncInvoice,$A29,IncCus,$R$1)-SUMIFS(IncPayAmount,IncDocDate,"&lt;="&amp;$R$2,IncPayDate,"&lt;="&amp;$R$2,IncInvoice,$A29,IncCus,$R$1),2)=0,0,1))</f>
        <v>0</v>
      </c>
      <c r="S29" s="99" t="str">
        <f t="shared" ca="1" si="2"/>
        <v>-</v>
      </c>
    </row>
    <row r="30" spans="1:19" ht="15.95" hidden="1" customHeight="1" x14ac:dyDescent="0.25">
      <c r="A30" s="317" t="s">
        <v>776</v>
      </c>
      <c r="B30" s="18">
        <v>45310</v>
      </c>
      <c r="C30" s="12" t="s">
        <v>732</v>
      </c>
      <c r="D30" s="318" t="s">
        <v>766</v>
      </c>
      <c r="E30" s="34">
        <v>885000</v>
      </c>
      <c r="F30" s="308" t="s">
        <v>654</v>
      </c>
      <c r="H30" s="99" t="s">
        <v>59</v>
      </c>
      <c r="I30" s="35" t="s">
        <v>211</v>
      </c>
      <c r="J30" s="99">
        <v>885000</v>
      </c>
      <c r="K30" s="18">
        <v>45310</v>
      </c>
      <c r="L30" s="99" cm="1">
        <f t="array" aca="1" ref="L30" ca="1">IF($Q30="N",0,SUMIFS(IncIncl,IncDocDate,"&lt;="&amp;$M$2,IncInvoice,$A30)-SUMIFS(IncPayAmount,IncDocDate,"&lt;="&amp;$M$2,IncPayDate,"&lt;="&amp;$M$2,IncInvoice,$A30))</f>
        <v>0</v>
      </c>
      <c r="M30" s="34" cm="1">
        <f t="array" aca="1" ref="M30" ca="1">$P30-IF(IncTaxCount=2,SUM(N30:O30),SUM(N30:N30))</f>
        <v>750000</v>
      </c>
      <c r="N30" s="34">
        <f ca="1">$P30/(1+IF(ISERROR($F30),0,IF(ISNA(MATCH($F30,TaxCode,0)),0,OFFSET(Setup!$D$23,MATCH($F30,TaxCode,0),0,1,1)))+IF(ISERROR($G30),0,IF(ISNA(MATCH($G30,TaxCode,0)),0,OFFSET(Setup!$D$23,MATCH($G30,TaxCode,0),0,1,1))))*IF(ISERROR($F30),0,IF(ISNA(MATCH($F30,TaxCode,0)),0,OFFSET(Setup!$D$23,MATCH($F30,TaxCode,0),0,1,1)))</f>
        <v>135000</v>
      </c>
      <c r="O30" s="34">
        <f ca="1">$P30/(1+IF(ISERROR($F30),0,IF(ISNA(MATCH($F30,TaxCode,0)),0,OFFSET(Setup!$D$23,MATCH($F30,TaxCode,0),0,1,1)))+IF(ISERROR($G30),0,IF(ISNA(MATCH($G30,TaxCode,0)),0,OFFSET(Setup!$D$23,MATCH($G30,TaxCode,0),0,1,1))))*IF(ISERROR($G30),0,IF(ISNA(MATCH($G30,TaxCode,0)),0,OFFSET(Setup!$D$23,MATCH($G30,TaxCode,0),0,1,1)))</f>
        <v>0</v>
      </c>
      <c r="P30" s="34">
        <f t="shared" si="0"/>
        <v>885000</v>
      </c>
      <c r="Q30" s="86" t="str">
        <f t="shared" si="1"/>
        <v>Y</v>
      </c>
      <c r="R30" s="86" cm="1">
        <f t="array" ref="R30">IF($Q30="N",0,IF(ROUND(SUMIFS(IncIncl,IncDocDate,"&lt;="&amp;$R$2,IncInvoice,$A30,IncCus,$R$1)-SUMIFS(IncPayAmount,IncDocDate,"&lt;="&amp;$R$2,IncPayDate,"&lt;="&amp;$R$2,IncInvoice,$A30,IncCus,$R$1),2)=0,0,1))</f>
        <v>0</v>
      </c>
      <c r="S30" s="99" t="str">
        <f t="shared" ca="1" si="2"/>
        <v>-</v>
      </c>
    </row>
    <row r="31" spans="1:19" ht="15.95" customHeight="1" x14ac:dyDescent="0.25">
      <c r="A31" s="317" t="s">
        <v>750</v>
      </c>
      <c r="B31" s="18">
        <v>45296</v>
      </c>
      <c r="C31" s="12" t="s">
        <v>714</v>
      </c>
      <c r="D31" s="318" t="s">
        <v>751</v>
      </c>
      <c r="E31" s="34">
        <v>459020</v>
      </c>
      <c r="F31" s="99" t="s">
        <v>654</v>
      </c>
      <c r="H31" s="99" t="s">
        <v>57</v>
      </c>
      <c r="I31" s="35" t="s">
        <v>740</v>
      </c>
      <c r="J31" s="99">
        <v>459020</v>
      </c>
      <c r="K31" s="18">
        <v>45314</v>
      </c>
      <c r="L31" s="99" cm="1">
        <f t="array" aca="1" ref="L31" ca="1">IF($Q31="N",0,SUMIFS(IncIncl,IncDocDate,"&lt;="&amp;$M$2,IncInvoice,$A31)-SUMIFS(IncPayAmount,IncDocDate,"&lt;="&amp;$M$2,IncPayDate,"&lt;="&amp;$M$2,IncInvoice,$A31))</f>
        <v>0</v>
      </c>
      <c r="M31" s="34" cm="1">
        <f t="array" aca="1" ref="M31" ca="1">$P31-IF(IncTaxCount=2,SUM(N31:O31),SUM(N31:N31))</f>
        <v>389000</v>
      </c>
      <c r="N31" s="34">
        <f ca="1">$P31/(1+IF(ISERROR($F31),0,IF(ISNA(MATCH($F31,TaxCode,0)),0,OFFSET(Setup!$D$23,MATCH($F31,TaxCode,0),0,1,1)))+IF(ISERROR($G31),0,IF(ISNA(MATCH($G31,TaxCode,0)),0,OFFSET(Setup!$D$23,MATCH($G31,TaxCode,0),0,1,1))))*IF(ISERROR($F31),0,IF(ISNA(MATCH($F31,TaxCode,0)),0,OFFSET(Setup!$D$23,MATCH($F31,TaxCode,0),0,1,1)))</f>
        <v>70020</v>
      </c>
      <c r="O31" s="34">
        <f ca="1">$P31/(1+IF(ISERROR($F31),0,IF(ISNA(MATCH($F31,TaxCode,0)),0,OFFSET(Setup!$D$23,MATCH($F31,TaxCode,0),0,1,1)))+IF(ISERROR($G31),0,IF(ISNA(MATCH($G31,TaxCode,0)),0,OFFSET(Setup!$D$23,MATCH($G31,TaxCode,0),0,1,1))))*IF(ISERROR($G31),0,IF(ISNA(MATCH($G31,TaxCode,0)),0,OFFSET(Setup!$D$23,MATCH($G31,TaxCode,0),0,1,1)))</f>
        <v>0</v>
      </c>
      <c r="P31" s="34">
        <f t="shared" si="0"/>
        <v>459020</v>
      </c>
      <c r="Q31" s="86" t="str">
        <f t="shared" si="1"/>
        <v>Y</v>
      </c>
      <c r="R31" s="86" cm="1">
        <f t="array" ref="R31">IF($Q31="N",0,IF(ROUND(SUMIFS(IncIncl,IncDocDate,"&lt;="&amp;$R$2,IncInvoice,$A31,IncCus,$R$1)-SUMIFS(IncPayAmount,IncDocDate,"&lt;="&amp;$R$2,IncPayDate,"&lt;="&amp;$R$2,IncInvoice,$A31,IncCus,$R$1),2)=0,0,1))</f>
        <v>0</v>
      </c>
      <c r="S31" s="99" t="str">
        <f t="shared" ca="1" si="2"/>
        <v>-</v>
      </c>
    </row>
    <row r="32" spans="1:19" ht="15.95" customHeight="1" x14ac:dyDescent="0.25">
      <c r="A32" s="317" t="s">
        <v>790</v>
      </c>
      <c r="B32" s="18">
        <v>45161</v>
      </c>
      <c r="C32" s="12" t="s">
        <v>706</v>
      </c>
      <c r="D32" s="318" t="s">
        <v>789</v>
      </c>
      <c r="E32" s="34">
        <v>122800.71</v>
      </c>
      <c r="F32" s="99" t="s">
        <v>655</v>
      </c>
      <c r="G32" s="99" t="s">
        <v>655</v>
      </c>
      <c r="H32" s="99" t="s">
        <v>57</v>
      </c>
      <c r="I32" s="35" t="s">
        <v>212</v>
      </c>
      <c r="J32" s="341">
        <v>122800.71</v>
      </c>
      <c r="K32" s="18">
        <v>45314</v>
      </c>
      <c r="L32" s="99" cm="1">
        <f t="array" aca="1" ref="L32" ca="1">IF($Q32="N",0,SUMIFS(IncIncl,IncDocDate,"&lt;="&amp;$M$2,IncInvoice,$A32)-SUMIFS(IncPayAmount,IncDocDate,"&lt;="&amp;$M$2,IncPayDate,"&lt;="&amp;$M$2,IncInvoice,$A32))</f>
        <v>0</v>
      </c>
      <c r="M32" s="34" cm="1">
        <f t="array" aca="1" ref="M32" ca="1">$P32-IF(IncTaxCount=2,SUM(N32:O32),SUM(N32:N32))</f>
        <v>111637.00909090909</v>
      </c>
      <c r="N32" s="34">
        <f ca="1">$P32/(1+IF(ISERROR($F32),0,IF(ISNA(MATCH($F32,TaxCode,0)),0,OFFSET(Setup!$D$23,MATCH($F32,TaxCode,0),0,1,1)))+IF(ISERROR($G32),0,IF(ISNA(MATCH($G32,TaxCode,0)),0,OFFSET(Setup!$D$23,MATCH($G32,TaxCode,0),0,1,1))))*IF(ISERROR($F32),0,IF(ISNA(MATCH($F32,TaxCode,0)),0,OFFSET(Setup!$D$23,MATCH($F32,TaxCode,0),0,1,1)))</f>
        <v>5581.8504545454552</v>
      </c>
      <c r="O32" s="34">
        <f ca="1">$P32/(1+IF(ISERROR($F32),0,IF(ISNA(MATCH($F32,TaxCode,0)),0,OFFSET(Setup!$D$23,MATCH($F32,TaxCode,0),0,1,1)))+IF(ISERROR($G32),0,IF(ISNA(MATCH($G32,TaxCode,0)),0,OFFSET(Setup!$D$23,MATCH($G32,TaxCode,0),0,1,1))))*IF(ISERROR($G32),0,IF(ISNA(MATCH($G32,TaxCode,0)),0,OFFSET(Setup!$D$23,MATCH($G32,TaxCode,0),0,1,1)))</f>
        <v>5581.8504545454552</v>
      </c>
      <c r="P32" s="34">
        <f t="shared" si="0"/>
        <v>122800.71</v>
      </c>
      <c r="Q32" s="86" t="str">
        <f t="shared" si="1"/>
        <v>Y</v>
      </c>
      <c r="R32" s="86" cm="1">
        <f t="array" ref="R32">IF($Q32="N",0,IF(ROUND(SUMIFS(IncIncl,IncDocDate,"&lt;="&amp;$R$2,IncInvoice,$A32,IncCus,$R$1)-SUMIFS(IncPayAmount,IncDocDate,"&lt;="&amp;$R$2,IncPayDate,"&lt;="&amp;$R$2,IncInvoice,$A32,IncCus,$R$1),2)=0,0,1))</f>
        <v>0</v>
      </c>
      <c r="S32" s="99" t="str">
        <f t="shared" ca="1" si="2"/>
        <v>-</v>
      </c>
    </row>
    <row r="33" spans="1:19" ht="17.25" customHeight="1" x14ac:dyDescent="0.25">
      <c r="A33" s="317" t="s">
        <v>802</v>
      </c>
      <c r="B33" s="339">
        <v>45320</v>
      </c>
      <c r="C33" s="12" t="s">
        <v>706</v>
      </c>
      <c r="D33" s="318" t="s">
        <v>791</v>
      </c>
      <c r="E33" s="327">
        <v>429514.92</v>
      </c>
      <c r="F33" s="99" t="s">
        <v>655</v>
      </c>
      <c r="G33" s="99" t="s">
        <v>655</v>
      </c>
      <c r="H33" s="99" t="s">
        <v>57</v>
      </c>
      <c r="I33" s="329" t="s">
        <v>212</v>
      </c>
      <c r="J33" s="328">
        <v>429514.92</v>
      </c>
      <c r="K33" s="339">
        <v>45320</v>
      </c>
      <c r="L33" s="328">
        <f t="array" aca="1" ref="L33" ca="1">IF($Q33="N",0,SUMIFS(IncIncl,IncDocDate,"&lt;="&amp;$M$2,IncInvoice,$A33)-SUMIFS(IncPayAmount,IncDocDate,"&lt;="&amp;$M$2,IncPayDate,"&lt;="&amp;$M$2,IncInvoice,$A33))</f>
        <v>0</v>
      </c>
      <c r="M33" s="327">
        <f t="array" aca="1" ref="M33" ca="1">$P33-IF(IncTaxCount=2,SUM(N33:O33),SUM(N33:N33))</f>
        <v>390468.10909090907</v>
      </c>
      <c r="N33" s="327">
        <f ca="1">$P33/(1+IF(ISERROR($F33),0,IF(ISNA(MATCH($F33,TaxCode,0)),0,OFFSET(Setup!$D$23,MATCH($F33,TaxCode,0),0,1,1)))+IF(ISERROR($G33),0,IF(ISNA(MATCH($G33,TaxCode,0)),0,OFFSET(Setup!$D$23,MATCH($G33,TaxCode,0),0,1,1))))*IF(ISERROR($F33),0,IF(ISNA(MATCH($F33,TaxCode,0)),0,OFFSET(Setup!$D$23,MATCH($F33,TaxCode,0),0,1,1)))</f>
        <v>19523.405454545453</v>
      </c>
      <c r="O33" s="327">
        <f ca="1">$P33/(1+IF(ISERROR($F33),0,IF(ISNA(MATCH($F33,TaxCode,0)),0,OFFSET(Setup!$D$23,MATCH($F33,TaxCode,0),0,1,1)))+IF(ISERROR($G33),0,IF(ISNA(MATCH($G33,TaxCode,0)),0,OFFSET(Setup!$D$23,MATCH($G33,TaxCode,0),0,1,1))))*IF(ISERROR($G33),0,IF(ISNA(MATCH($G33,TaxCode,0)),0,OFFSET(Setup!$D$23,MATCH($G33,TaxCode,0),0,1,1)))</f>
        <v>19523.405454545453</v>
      </c>
      <c r="P33" s="327">
        <f t="shared" ref="P33" si="3">E33</f>
        <v>429514.92</v>
      </c>
      <c r="Q33" s="340" t="str">
        <f t="shared" si="1"/>
        <v>Y</v>
      </c>
      <c r="R33" s="340">
        <f t="array" ref="R33">IF($Q33="N",0,IF(ROUND(SUMIFS(IncIncl,IncDocDate,"&lt;="&amp;$R$2,IncInvoice,$A33,IncCus,$R$1)-SUMIFS(IncPayAmount,IncDocDate,"&lt;="&amp;$R$2,IncPayDate,"&lt;="&amp;$R$2,IncInvoice,$A33,IncCus,$R$1),2)=0,0,1))</f>
        <v>0</v>
      </c>
      <c r="S33" s="328" t="str">
        <f t="shared" ca="1" si="2"/>
        <v>-</v>
      </c>
    </row>
    <row r="34" spans="1:19" ht="17.25" customHeight="1" x14ac:dyDescent="0.25">
      <c r="A34" s="325" t="s">
        <v>760</v>
      </c>
      <c r="B34" s="339">
        <v>45307</v>
      </c>
      <c r="C34" s="12" t="s">
        <v>706</v>
      </c>
      <c r="D34" s="318" t="s">
        <v>788</v>
      </c>
      <c r="E34" s="327">
        <v>2119880</v>
      </c>
      <c r="F34" s="99" t="s">
        <v>655</v>
      </c>
      <c r="G34" s="99" t="s">
        <v>655</v>
      </c>
      <c r="H34" s="99" t="s">
        <v>57</v>
      </c>
      <c r="I34" s="329" t="s">
        <v>212</v>
      </c>
      <c r="J34" s="328">
        <v>2119880</v>
      </c>
      <c r="K34" s="339">
        <v>45321</v>
      </c>
      <c r="L34" s="328">
        <f t="array" ref="L34">IF($Q34="N",0,SUMIFS(IncIncl,IncDocDate,"&lt;="&amp;$M$2,IncInvoice,$A34)-SUMIFS(IncPayAmount,IncDocDate,"&lt;="&amp;$M$2,IncPayDate,"&lt;="&amp;$M$2,IncInvoice,$A34))</f>
        <v>0</v>
      </c>
      <c r="M34" s="327">
        <f t="array" aca="1" ref="M34" ca="1">$P34-IF(IncTaxCount=2,SUM(N34:O34),SUM(N34:N34))</f>
        <v>1927163.6363636362</v>
      </c>
      <c r="N34" s="327">
        <f ca="1">$P34/(1+IF(ISERROR($F34),0,IF(ISNA(MATCH($F34,TaxCode,0)),0,OFFSET(Setup!$D$23,MATCH($F34,TaxCode,0),0,1,1)))+IF(ISERROR($G34),0,IF(ISNA(MATCH($G34,TaxCode,0)),0,OFFSET(Setup!$D$23,MATCH($G34,TaxCode,0),0,1,1))))*IF(ISERROR($F34),0,IF(ISNA(MATCH($F34,TaxCode,0)),0,OFFSET(Setup!$D$23,MATCH($F34,TaxCode,0),0,1,1)))</f>
        <v>96358.181818181823</v>
      </c>
      <c r="O34" s="327">
        <f ca="1">$P34/(1+IF(ISERROR($F34),0,IF(ISNA(MATCH($F34,TaxCode,0)),0,OFFSET(Setup!$D$23,MATCH($F34,TaxCode,0),0,1,1)))+IF(ISERROR($G34),0,IF(ISNA(MATCH($G34,TaxCode,0)),0,OFFSET(Setup!$D$23,MATCH($G34,TaxCode,0),0,1,1))))*IF(ISERROR($G34),0,IF(ISNA(MATCH($G34,TaxCode,0)),0,OFFSET(Setup!$D$23,MATCH($G34,TaxCode,0),0,1,1)))</f>
        <v>96358.181818181823</v>
      </c>
      <c r="P34" s="327">
        <f t="shared" ref="P34:P35" si="4">E34</f>
        <v>2119880</v>
      </c>
      <c r="Q34" s="340" t="str">
        <f t="shared" si="1"/>
        <v>N</v>
      </c>
      <c r="R34" s="340">
        <f t="array" ref="R34">IF($Q34="N",0,IF(ROUND(SUMIFS(IncIncl,IncDocDate,"&lt;="&amp;$R$2,IncInvoice,$A34,IncCus,$R$1)-SUMIFS(IncPayAmount,IncDocDate,"&lt;="&amp;$R$2,IncPayDate,"&lt;="&amp;$R$2,IncInvoice,$A34,IncCus,$R$1),2)=0,0,1))</f>
        <v>0</v>
      </c>
      <c r="S34" s="328" t="str">
        <f t="shared" ref="S34:S35" ca="1" si="5">IF(AND(ISBLANK(K34)=FALSE,K34&lt;B34),"E1",IF(AND(ISBLANK(I34)=FALSE,ISNA(MATCH($I34,AccountNo,0))),"E2",IF(AND(ISBLANK(H34)=FALSE,ISNA(MATCH($H34,BankCode,0))),"E3",IF(AND(ISBLANK(C34)=FALSE,ISNA(MATCH($C34,CustomerCode,0))),"E4","-"))))</f>
        <v>-</v>
      </c>
    </row>
    <row r="35" spans="1:19" ht="17.25" customHeight="1" x14ac:dyDescent="0.25">
      <c r="A35" s="325" t="s">
        <v>758</v>
      </c>
      <c r="B35" s="339">
        <v>45307</v>
      </c>
      <c r="C35" s="12" t="s">
        <v>706</v>
      </c>
      <c r="D35" s="318" t="s">
        <v>787</v>
      </c>
      <c r="E35" s="327">
        <v>467820</v>
      </c>
      <c r="F35" s="99" t="s">
        <v>655</v>
      </c>
      <c r="G35" s="99" t="s">
        <v>655</v>
      </c>
      <c r="H35" s="99" t="s">
        <v>57</v>
      </c>
      <c r="I35" s="329" t="s">
        <v>212</v>
      </c>
      <c r="J35" s="328">
        <v>467820</v>
      </c>
      <c r="K35" s="339">
        <v>45322</v>
      </c>
      <c r="L35" s="328">
        <f t="array" ref="L35">IF($Q35="N",0,SUMIFS(IncIncl,IncDocDate,"&lt;="&amp;$M$2,IncInvoice,$A35)-SUMIFS(IncPayAmount,IncDocDate,"&lt;="&amp;$M$2,IncPayDate,"&lt;="&amp;$M$2,IncInvoice,$A35))</f>
        <v>0</v>
      </c>
      <c r="M35" s="327">
        <f t="array" aca="1" ref="M35" ca="1">$P35-IF(IncTaxCount=2,SUM(N35:O35),SUM(N35:N35))</f>
        <v>425290.90909090906</v>
      </c>
      <c r="N35" s="327">
        <f ca="1">$P35/(1+IF(ISERROR($F35),0,IF(ISNA(MATCH($F35,TaxCode,0)),0,OFFSET(Setup!$D$23,MATCH($F35,TaxCode,0),0,1,1)))+IF(ISERROR($G35),0,IF(ISNA(MATCH($G35,TaxCode,0)),0,OFFSET(Setup!$D$23,MATCH($G35,TaxCode,0),0,1,1))))*IF(ISERROR($F35),0,IF(ISNA(MATCH($F35,TaxCode,0)),0,OFFSET(Setup!$D$23,MATCH($F35,TaxCode,0),0,1,1)))</f>
        <v>21264.545454545456</v>
      </c>
      <c r="O35" s="327">
        <f ca="1">$P35/(1+IF(ISERROR($F35),0,IF(ISNA(MATCH($F35,TaxCode,0)),0,OFFSET(Setup!$D$23,MATCH($F35,TaxCode,0),0,1,1)))+IF(ISERROR($G35),0,IF(ISNA(MATCH($G35,TaxCode,0)),0,OFFSET(Setup!$D$23,MATCH($G35,TaxCode,0),0,1,1))))*IF(ISERROR($G35),0,IF(ISNA(MATCH($G35,TaxCode,0)),0,OFFSET(Setup!$D$23,MATCH($G35,TaxCode,0),0,1,1)))</f>
        <v>21264.545454545456</v>
      </c>
      <c r="P35" s="327">
        <f t="shared" si="4"/>
        <v>467820</v>
      </c>
      <c r="Q35" s="340" t="str">
        <f t="shared" si="1"/>
        <v>N</v>
      </c>
      <c r="R35" s="340">
        <f t="array" ref="R35">IF($Q35="N",0,IF(ROUND(SUMIFS(IncIncl,IncDocDate,"&lt;="&amp;$R$2,IncInvoice,$A35,IncCus,$R$1)-SUMIFS(IncPayAmount,IncDocDate,"&lt;="&amp;$R$2,IncPayDate,"&lt;="&amp;$R$2,IncInvoice,$A35,IncCus,$R$1),2)=0,0,1))</f>
        <v>0</v>
      </c>
      <c r="S35" s="328" t="str">
        <f t="shared" ca="1" si="5"/>
        <v>-</v>
      </c>
    </row>
    <row r="36" spans="1:19" ht="15.95" hidden="1" customHeight="1" x14ac:dyDescent="0.25">
      <c r="A36" s="317" t="s">
        <v>777</v>
      </c>
      <c r="B36" s="18">
        <v>45318</v>
      </c>
      <c r="C36" s="12" t="s">
        <v>730</v>
      </c>
      <c r="D36" s="318" t="s">
        <v>766</v>
      </c>
      <c r="E36" s="34">
        <v>172752</v>
      </c>
      <c r="F36" s="308" t="s">
        <v>654</v>
      </c>
      <c r="H36" s="99" t="s">
        <v>59</v>
      </c>
      <c r="I36" s="35" t="s">
        <v>211</v>
      </c>
      <c r="J36" s="99">
        <v>172752</v>
      </c>
      <c r="K36" s="18">
        <v>45318</v>
      </c>
      <c r="L36" s="99" cm="1">
        <f t="array" aca="1" ref="L36" ca="1">IF($Q36="N",0,SUMIFS(IncIncl,IncDocDate,"&lt;="&amp;$M$2,IncInvoice,$A36)-SUMIFS(IncPayAmount,IncDocDate,"&lt;="&amp;$M$2,IncPayDate,"&lt;="&amp;$M$2,IncInvoice,$A36))</f>
        <v>0</v>
      </c>
      <c r="M36" s="34" cm="1">
        <f t="array" aca="1" ref="M36" ca="1">$P36-IF(IncTaxCount=2,SUM(N36:O36),SUM(N36:N36))</f>
        <v>146400</v>
      </c>
      <c r="N36" s="34">
        <f ca="1">$P36/(1+IF(ISERROR($F36),0,IF(ISNA(MATCH($F36,TaxCode,0)),0,OFFSET(Setup!$D$23,MATCH($F36,TaxCode,0),0,1,1)))+IF(ISERROR($G36),0,IF(ISNA(MATCH($G36,TaxCode,0)),0,OFFSET(Setup!$D$23,MATCH($G36,TaxCode,0),0,1,1))))*IF(ISERROR($F36),0,IF(ISNA(MATCH($F36,TaxCode,0)),0,OFFSET(Setup!$D$23,MATCH($F36,TaxCode,0),0,1,1)))</f>
        <v>26352</v>
      </c>
      <c r="O36" s="34">
        <f ca="1">$P36/(1+IF(ISERROR($F36),0,IF(ISNA(MATCH($F36,TaxCode,0)),0,OFFSET(Setup!$D$23,MATCH($F36,TaxCode,0),0,1,1)))+IF(ISERROR($G36),0,IF(ISNA(MATCH($G36,TaxCode,0)),0,OFFSET(Setup!$D$23,MATCH($G36,TaxCode,0),0,1,1))))*IF(ISERROR($G36),0,IF(ISNA(MATCH($G36,TaxCode,0)),0,OFFSET(Setup!$D$23,MATCH($G36,TaxCode,0),0,1,1)))</f>
        <v>0</v>
      </c>
      <c r="P36" s="34">
        <f t="shared" ref="P36:P83" si="6">E36</f>
        <v>172752</v>
      </c>
      <c r="Q36" s="86" t="str">
        <f t="shared" si="1"/>
        <v>Y</v>
      </c>
      <c r="R36" s="86" cm="1">
        <f t="array" ref="R36">IF($Q36="N",0,IF(ROUND(SUMIFS(IncIncl,IncDocDate,"&lt;="&amp;$R$2,IncInvoice,$A36,IncCus,$R$1)-SUMIFS(IncPayAmount,IncDocDate,"&lt;="&amp;$R$2,IncPayDate,"&lt;="&amp;$R$2,IncInvoice,$A36,IncCus,$R$1),2)=0,0,1))</f>
        <v>0</v>
      </c>
      <c r="S36" s="99" t="str">
        <f t="shared" ca="1" si="2"/>
        <v>-</v>
      </c>
    </row>
    <row r="37" spans="1:19" ht="15.95" hidden="1" customHeight="1" x14ac:dyDescent="0.25">
      <c r="A37" s="330" t="s">
        <v>767</v>
      </c>
      <c r="B37" s="331">
        <v>45320</v>
      </c>
      <c r="C37" s="332" t="s">
        <v>712</v>
      </c>
      <c r="D37" s="333" t="s">
        <v>691</v>
      </c>
      <c r="E37" s="334">
        <v>700000</v>
      </c>
      <c r="F37" s="337" t="s">
        <v>654</v>
      </c>
      <c r="G37" s="335"/>
      <c r="H37" s="335" t="s">
        <v>743</v>
      </c>
      <c r="I37" s="336" t="s">
        <v>210</v>
      </c>
      <c r="J37" s="335">
        <v>700000</v>
      </c>
      <c r="K37" s="331">
        <v>45320</v>
      </c>
      <c r="L37" s="99" cm="1">
        <f t="array" aca="1" ref="L37" ca="1">IF($Q37="N",0,SUMIFS(IncIncl,IncDocDate,"&lt;="&amp;$M$2,IncInvoice,$A37)-SUMIFS(IncPayAmount,IncDocDate,"&lt;="&amp;$M$2,IncPayDate,"&lt;="&amp;$M$2,IncInvoice,$A37))</f>
        <v>0</v>
      </c>
      <c r="M37" s="34" cm="1">
        <f t="array" aca="1" ref="M37" ca="1">$P37-IF(IncTaxCount=2,SUM(N37:O37),SUM(N37:N37))</f>
        <v>593220.33898305078</v>
      </c>
      <c r="N37" s="34">
        <f ca="1">$P37/(1+IF(ISERROR($F37),0,IF(ISNA(MATCH($F37,TaxCode,0)),0,OFFSET(Setup!$D$23,MATCH($F37,TaxCode,0),0,1,1)))+IF(ISERROR($G37),0,IF(ISNA(MATCH($G37,TaxCode,0)),0,OFFSET(Setup!$D$23,MATCH($G37,TaxCode,0),0,1,1))))*IF(ISERROR($F37),0,IF(ISNA(MATCH($F37,TaxCode,0)),0,OFFSET(Setup!$D$23,MATCH($F37,TaxCode,0),0,1,1)))</f>
        <v>106779.66101694916</v>
      </c>
      <c r="O37" s="34">
        <f ca="1">$P37/(1+IF(ISERROR($F37),0,IF(ISNA(MATCH($F37,TaxCode,0)),0,OFFSET(Setup!$D$23,MATCH($F37,TaxCode,0),0,1,1)))+IF(ISERROR($G37),0,IF(ISNA(MATCH($G37,TaxCode,0)),0,OFFSET(Setup!$D$23,MATCH($G37,TaxCode,0),0,1,1))))*IF(ISERROR($G37),0,IF(ISNA(MATCH($G37,TaxCode,0)),0,OFFSET(Setup!$D$23,MATCH($G37,TaxCode,0),0,1,1)))</f>
        <v>0</v>
      </c>
      <c r="P37" s="34">
        <f t="shared" si="6"/>
        <v>700000</v>
      </c>
      <c r="Q37" s="86" t="str">
        <f t="shared" si="1"/>
        <v>Y</v>
      </c>
      <c r="R37" s="86" cm="1">
        <f t="array" ref="R37">IF($Q37="N",0,IF(ROUND(SUMIFS(IncIncl,IncDocDate,"&lt;="&amp;$R$2,IncInvoice,$A37,IncCus,$R$1)-SUMIFS(IncPayAmount,IncDocDate,"&lt;="&amp;$R$2,IncPayDate,"&lt;="&amp;$R$2,IncInvoice,$A37,IncCus,$R$1),2)=0,0,1))</f>
        <v>0</v>
      </c>
      <c r="S37" s="99" t="str">
        <f t="shared" ca="1" si="2"/>
        <v>-</v>
      </c>
    </row>
    <row r="38" spans="1:19" ht="15.95" hidden="1" customHeight="1" x14ac:dyDescent="0.25">
      <c r="A38" s="317" t="s">
        <v>778</v>
      </c>
      <c r="B38" s="18">
        <v>45325</v>
      </c>
      <c r="C38" s="12" t="s">
        <v>721</v>
      </c>
      <c r="D38" s="318" t="s">
        <v>766</v>
      </c>
      <c r="E38" s="34">
        <v>1584079.2</v>
      </c>
      <c r="F38" s="308" t="s">
        <v>654</v>
      </c>
      <c r="H38" s="99" t="s">
        <v>59</v>
      </c>
      <c r="I38" s="35" t="s">
        <v>211</v>
      </c>
      <c r="J38" s="99">
        <v>1584079.2</v>
      </c>
      <c r="K38" s="18">
        <v>45325</v>
      </c>
      <c r="L38" s="99" cm="1">
        <f t="array" aca="1" ref="L38" ca="1">IF($Q38="N",0,SUMIFS(IncIncl,IncDocDate,"&lt;="&amp;$M$2,IncInvoice,$A38)-SUMIFS(IncPayAmount,IncDocDate,"&lt;="&amp;$M$2,IncPayDate,"&lt;="&amp;$M$2,IncInvoice,$A38))</f>
        <v>0</v>
      </c>
      <c r="M38" s="34" cm="1">
        <f t="array" aca="1" ref="M38" ca="1">$P38-IF(IncTaxCount=2,SUM(N38:O38),SUM(N38:N38))</f>
        <v>1342440</v>
      </c>
      <c r="N38" s="34">
        <f ca="1">$P38/(1+IF(ISERROR($F38),0,IF(ISNA(MATCH($F38,TaxCode,0)),0,OFFSET(Setup!$D$23,MATCH($F38,TaxCode,0),0,1,1)))+IF(ISERROR($G38),0,IF(ISNA(MATCH($G38,TaxCode,0)),0,OFFSET(Setup!$D$23,MATCH($G38,TaxCode,0),0,1,1))))*IF(ISERROR($F38),0,IF(ISNA(MATCH($F38,TaxCode,0)),0,OFFSET(Setup!$D$23,MATCH($F38,TaxCode,0),0,1,1)))</f>
        <v>241639.19999999998</v>
      </c>
      <c r="O38" s="34">
        <f ca="1">$P38/(1+IF(ISERROR($F38),0,IF(ISNA(MATCH($F38,TaxCode,0)),0,OFFSET(Setup!$D$23,MATCH($F38,TaxCode,0),0,1,1)))+IF(ISERROR($G38),0,IF(ISNA(MATCH($G38,TaxCode,0)),0,OFFSET(Setup!$D$23,MATCH($G38,TaxCode,0),0,1,1))))*IF(ISERROR($G38),0,IF(ISNA(MATCH($G38,TaxCode,0)),0,OFFSET(Setup!$D$23,MATCH($G38,TaxCode,0),0,1,1)))</f>
        <v>0</v>
      </c>
      <c r="P38" s="34">
        <f t="shared" si="6"/>
        <v>1584079.2</v>
      </c>
      <c r="Q38" s="86" t="str">
        <f t="shared" si="1"/>
        <v>Y</v>
      </c>
      <c r="R38" s="86" cm="1">
        <f t="array" ref="R38">IF($Q38="N",0,IF(ROUND(SUMIFS(IncIncl,IncDocDate,"&lt;="&amp;$R$2,IncInvoice,$A38,IncCus,$R$1)-SUMIFS(IncPayAmount,IncDocDate,"&lt;="&amp;$R$2,IncPayDate,"&lt;="&amp;$R$2,IncInvoice,$A38,IncCus,$R$1),2)=0,0,1))</f>
        <v>0</v>
      </c>
      <c r="S38" s="99" t="str">
        <f t="shared" ca="1" si="2"/>
        <v>-</v>
      </c>
    </row>
    <row r="39" spans="1:19" ht="15.95" hidden="1" customHeight="1" x14ac:dyDescent="0.25">
      <c r="A39" s="317" t="s">
        <v>779</v>
      </c>
      <c r="B39" s="18">
        <v>45325</v>
      </c>
      <c r="C39" s="12" t="s">
        <v>724</v>
      </c>
      <c r="D39" s="318" t="s">
        <v>766</v>
      </c>
      <c r="E39" s="34">
        <v>261960</v>
      </c>
      <c r="F39" s="308" t="s">
        <v>654</v>
      </c>
      <c r="H39" s="99" t="s">
        <v>59</v>
      </c>
      <c r="I39" s="35" t="s">
        <v>211</v>
      </c>
      <c r="J39" s="99">
        <v>261960</v>
      </c>
      <c r="K39" s="18">
        <v>45325</v>
      </c>
      <c r="L39" s="99" cm="1">
        <f t="array" aca="1" ref="L39" ca="1">IF($Q39="N",0,SUMIFS(IncIncl,IncDocDate,"&lt;="&amp;$M$2,IncInvoice,$A39)-SUMIFS(IncPayAmount,IncDocDate,"&lt;="&amp;$M$2,IncPayDate,"&lt;="&amp;$M$2,IncInvoice,$A39))</f>
        <v>0</v>
      </c>
      <c r="M39" s="34" cm="1">
        <f t="array" aca="1" ref="M39" ca="1">$P39-IF(IncTaxCount=2,SUM(N39:O39),SUM(N39:N39))</f>
        <v>222000</v>
      </c>
      <c r="N39" s="34">
        <f ca="1">$P39/(1+IF(ISERROR($F39),0,IF(ISNA(MATCH($F39,TaxCode,0)),0,OFFSET(Setup!$D$23,MATCH($F39,TaxCode,0),0,1,1)))+IF(ISERROR($G39),0,IF(ISNA(MATCH($G39,TaxCode,0)),0,OFFSET(Setup!$D$23,MATCH($G39,TaxCode,0),0,1,1))))*IF(ISERROR($F39),0,IF(ISNA(MATCH($F39,TaxCode,0)),0,OFFSET(Setup!$D$23,MATCH($F39,TaxCode,0),0,1,1)))</f>
        <v>39960</v>
      </c>
      <c r="O39" s="34">
        <f ca="1">$P39/(1+IF(ISERROR($F39),0,IF(ISNA(MATCH($F39,TaxCode,0)),0,OFFSET(Setup!$D$23,MATCH($F39,TaxCode,0),0,1,1)))+IF(ISERROR($G39),0,IF(ISNA(MATCH($G39,TaxCode,0)),0,OFFSET(Setup!$D$23,MATCH($G39,TaxCode,0),0,1,1))))*IF(ISERROR($G39),0,IF(ISNA(MATCH($G39,TaxCode,0)),0,OFFSET(Setup!$D$23,MATCH($G39,TaxCode,0),0,1,1)))</f>
        <v>0</v>
      </c>
      <c r="P39" s="34">
        <f t="shared" si="6"/>
        <v>261960</v>
      </c>
      <c r="Q39" s="86" t="str">
        <f t="shared" ref="Q39:Q70" si="7">IF(ISNA(MATCH($A39,IncInvoice,0)),"N",IF(MATCH($A39,IncInvoice,0)=ROW($A39)-4,"Y","N"))</f>
        <v>Y</v>
      </c>
      <c r="R39" s="86" cm="1">
        <f t="array" ref="R39">IF($Q39="N",0,IF(ROUND(SUMIFS(IncIncl,IncDocDate,"&lt;="&amp;$R$2,IncInvoice,$A39,IncCus,$R$1)-SUMIFS(IncPayAmount,IncDocDate,"&lt;="&amp;$R$2,IncPayDate,"&lt;="&amp;$R$2,IncInvoice,$A39,IncCus,$R$1),2)=0,0,1))</f>
        <v>0</v>
      </c>
      <c r="S39" s="99" t="str">
        <f t="shared" ref="S39:S70" ca="1" si="8">IF(AND(ISBLANK(K39)=FALSE,K39&lt;B39),"E1",IF(AND(ISBLANK(I39)=FALSE,ISNA(MATCH($I39,AccountNo,0))),"E2",IF(AND(ISBLANK(H39)=FALSE,ISNA(MATCH($H39,BankCode,0))),"E3",IF(AND(ISBLANK(C39)=FALSE,ISNA(MATCH($C39,CustomerCode,0))),"E4","-"))))</f>
        <v>-</v>
      </c>
    </row>
    <row r="40" spans="1:19" ht="15.95" hidden="1" customHeight="1" x14ac:dyDescent="0.25">
      <c r="A40" s="317" t="s">
        <v>780</v>
      </c>
      <c r="B40" s="18">
        <v>45327</v>
      </c>
      <c r="C40" s="12" t="s">
        <v>734</v>
      </c>
      <c r="D40" s="318" t="s">
        <v>766</v>
      </c>
      <c r="E40" s="34">
        <v>3469200</v>
      </c>
      <c r="F40" s="308" t="s">
        <v>654</v>
      </c>
      <c r="H40" s="99" t="s">
        <v>59</v>
      </c>
      <c r="I40" s="35" t="s">
        <v>211</v>
      </c>
      <c r="J40" s="99">
        <v>3469200</v>
      </c>
      <c r="K40" s="18">
        <v>45327</v>
      </c>
      <c r="L40" s="99" cm="1">
        <f t="array" aca="1" ref="L40" ca="1">IF($Q40="N",0,SUMIFS(IncIncl,IncDocDate,"&lt;="&amp;$M$2,IncInvoice,$A40)-SUMIFS(IncPayAmount,IncDocDate,"&lt;="&amp;$M$2,IncPayDate,"&lt;="&amp;$M$2,IncInvoice,$A40))</f>
        <v>0</v>
      </c>
      <c r="M40" s="34" cm="1">
        <f t="array" aca="1" ref="M40" ca="1">$P40-IF(IncTaxCount=2,SUM(N40:O40),SUM(N40:N40))</f>
        <v>2940000</v>
      </c>
      <c r="N40" s="34">
        <f ca="1">$P40/(1+IF(ISERROR($F40),0,IF(ISNA(MATCH($F40,TaxCode,0)),0,OFFSET(Setup!$D$23,MATCH($F40,TaxCode,0),0,1,1)))+IF(ISERROR($G40),0,IF(ISNA(MATCH($G40,TaxCode,0)),0,OFFSET(Setup!$D$23,MATCH($G40,TaxCode,0),0,1,1))))*IF(ISERROR($F40),0,IF(ISNA(MATCH($F40,TaxCode,0)),0,OFFSET(Setup!$D$23,MATCH($F40,TaxCode,0),0,1,1)))</f>
        <v>529200</v>
      </c>
      <c r="O40" s="34">
        <f ca="1">$P40/(1+IF(ISERROR($F40),0,IF(ISNA(MATCH($F40,TaxCode,0)),0,OFFSET(Setup!$D$23,MATCH($F40,TaxCode,0),0,1,1)))+IF(ISERROR($G40),0,IF(ISNA(MATCH($G40,TaxCode,0)),0,OFFSET(Setup!$D$23,MATCH($G40,TaxCode,0),0,1,1))))*IF(ISERROR($G40),0,IF(ISNA(MATCH($G40,TaxCode,0)),0,OFFSET(Setup!$D$23,MATCH($G40,TaxCode,0),0,1,1)))</f>
        <v>0</v>
      </c>
      <c r="P40" s="34">
        <f t="shared" si="6"/>
        <v>3469200</v>
      </c>
      <c r="Q40" s="86" t="str">
        <f t="shared" si="7"/>
        <v>Y</v>
      </c>
      <c r="R40" s="86" cm="1">
        <f t="array" ref="R40">IF($Q40="N",0,IF(ROUND(SUMIFS(IncIncl,IncDocDate,"&lt;="&amp;$R$2,IncInvoice,$A40,IncCus,$R$1)-SUMIFS(IncPayAmount,IncDocDate,"&lt;="&amp;$R$2,IncPayDate,"&lt;="&amp;$R$2,IncInvoice,$A40,IncCus,$R$1),2)=0,0,1))</f>
        <v>0</v>
      </c>
      <c r="S40" s="99" t="str">
        <f t="shared" ca="1" si="8"/>
        <v>-</v>
      </c>
    </row>
    <row r="41" spans="1:19" ht="15.95" hidden="1" customHeight="1" x14ac:dyDescent="0.25">
      <c r="A41" s="330" t="s">
        <v>782</v>
      </c>
      <c r="B41" s="331">
        <v>45331</v>
      </c>
      <c r="C41" s="332" t="s">
        <v>700</v>
      </c>
      <c r="D41" s="333" t="s">
        <v>766</v>
      </c>
      <c r="E41" s="334">
        <v>842520</v>
      </c>
      <c r="F41" s="337" t="s">
        <v>654</v>
      </c>
      <c r="G41" s="335"/>
      <c r="H41" s="335" t="s">
        <v>59</v>
      </c>
      <c r="I41" s="336" t="s">
        <v>211</v>
      </c>
      <c r="J41" s="335">
        <v>842520</v>
      </c>
      <c r="K41" s="331">
        <v>45331</v>
      </c>
      <c r="L41" s="99" cm="1">
        <f t="array" aca="1" ref="L41" ca="1">IF($Q41="N",0,SUMIFS(IncIncl,IncDocDate,"&lt;="&amp;$M$2,IncInvoice,$A41)-SUMIFS(IncPayAmount,IncDocDate,"&lt;="&amp;$M$2,IncPayDate,"&lt;="&amp;$M$2,IncInvoice,$A41))</f>
        <v>0</v>
      </c>
      <c r="M41" s="34" cm="1">
        <f t="array" aca="1" ref="M41" ca="1">$P41-IF(IncTaxCount=2,SUM(N41:O41),SUM(N41:N41))</f>
        <v>714000</v>
      </c>
      <c r="N41" s="34">
        <f ca="1">$P41/(1+IF(ISERROR($F41),0,IF(ISNA(MATCH($F41,TaxCode,0)),0,OFFSET(Setup!$D$23,MATCH($F41,TaxCode,0),0,1,1)))+IF(ISERROR($G41),0,IF(ISNA(MATCH($G41,TaxCode,0)),0,OFFSET(Setup!$D$23,MATCH($G41,TaxCode,0),0,1,1))))*IF(ISERROR($F41),0,IF(ISNA(MATCH($F41,TaxCode,0)),0,OFFSET(Setup!$D$23,MATCH($F41,TaxCode,0),0,1,1)))</f>
        <v>128520</v>
      </c>
      <c r="O41" s="34">
        <f ca="1">$P41/(1+IF(ISERROR($F41),0,IF(ISNA(MATCH($F41,TaxCode,0)),0,OFFSET(Setup!$D$23,MATCH($F41,TaxCode,0),0,1,1)))+IF(ISERROR($G41),0,IF(ISNA(MATCH($G41,TaxCode,0)),0,OFFSET(Setup!$D$23,MATCH($G41,TaxCode,0),0,1,1))))*IF(ISERROR($G41),0,IF(ISNA(MATCH($G41,TaxCode,0)),0,OFFSET(Setup!$D$23,MATCH($G41,TaxCode,0),0,1,1)))</f>
        <v>0</v>
      </c>
      <c r="P41" s="34">
        <f t="shared" si="6"/>
        <v>842520</v>
      </c>
      <c r="Q41" s="86" t="str">
        <f t="shared" si="7"/>
        <v>Y</v>
      </c>
      <c r="R41" s="86" cm="1">
        <f t="array" ref="R41">IF($Q41="N",0,IF(ROUND(SUMIFS(IncIncl,IncDocDate,"&lt;="&amp;$R$2,IncInvoice,$A41,IncCus,$R$1)-SUMIFS(IncPayAmount,IncDocDate,"&lt;="&amp;$R$2,IncPayDate,"&lt;="&amp;$R$2,IncInvoice,$A41,IncCus,$R$1),2)=0,0,1))</f>
        <v>0</v>
      </c>
      <c r="S41" s="99" t="str">
        <f t="shared" ca="1" si="8"/>
        <v>-</v>
      </c>
    </row>
    <row r="42" spans="1:19" ht="15.95" hidden="1" customHeight="1" x14ac:dyDescent="0.25">
      <c r="A42" s="325" t="s">
        <v>742</v>
      </c>
      <c r="B42" s="18">
        <v>44928</v>
      </c>
      <c r="C42" s="325" t="s">
        <v>687</v>
      </c>
      <c r="D42" s="326" t="s">
        <v>691</v>
      </c>
      <c r="E42" s="327">
        <v>413000</v>
      </c>
      <c r="F42" s="328" t="s">
        <v>654</v>
      </c>
      <c r="G42" s="328"/>
      <c r="H42" s="328" t="s">
        <v>743</v>
      </c>
      <c r="I42" s="329" t="s">
        <v>210</v>
      </c>
      <c r="J42" s="328"/>
      <c r="L42" s="99" cm="1">
        <f t="array" aca="1" ref="L42" ca="1">IF($Q42="N",0,SUMIFS(IncIncl,IncDocDate,"&lt;="&amp;$M$2,IncInvoice,$A42)-SUMIFS(IncPayAmount,IncDocDate,"&lt;="&amp;$M$2,IncPayDate,"&lt;="&amp;$M$2,IncInvoice,$A42))</f>
        <v>413000</v>
      </c>
      <c r="M42" s="34" cm="1">
        <f t="array" aca="1" ref="M42" ca="1">$P42-IF(IncTaxCount=2,SUM(N42:O42),SUM(N42:N42))</f>
        <v>350000</v>
      </c>
      <c r="N42" s="34">
        <f ca="1">$P42/(1+IF(ISERROR($F42),0,IF(ISNA(MATCH($F42,TaxCode,0)),0,OFFSET(Setup!$D$23,MATCH($F42,TaxCode,0),0,1,1)))+IF(ISERROR($G42),0,IF(ISNA(MATCH($G42,TaxCode,0)),0,OFFSET(Setup!$D$23,MATCH($G42,TaxCode,0),0,1,1))))*IF(ISERROR($F42),0,IF(ISNA(MATCH($F42,TaxCode,0)),0,OFFSET(Setup!$D$23,MATCH($F42,TaxCode,0),0,1,1)))</f>
        <v>63000</v>
      </c>
      <c r="O42" s="34">
        <f ca="1">$P42/(1+IF(ISERROR($F42),0,IF(ISNA(MATCH($F42,TaxCode,0)),0,OFFSET(Setup!$D$23,MATCH($F42,TaxCode,0),0,1,1)))+IF(ISERROR($G42),0,IF(ISNA(MATCH($G42,TaxCode,0)),0,OFFSET(Setup!$D$23,MATCH($G42,TaxCode,0),0,1,1))))*IF(ISERROR($G42),0,IF(ISNA(MATCH($G42,TaxCode,0)),0,OFFSET(Setup!$D$23,MATCH($G42,TaxCode,0),0,1,1)))</f>
        <v>0</v>
      </c>
      <c r="P42" s="34">
        <f t="shared" si="6"/>
        <v>413000</v>
      </c>
      <c r="Q42" s="86" t="str">
        <f t="shared" si="7"/>
        <v>Y</v>
      </c>
      <c r="R42" s="86" cm="1">
        <f t="array" ref="R42">IF($Q42="N",0,IF(ROUND(SUMIFS(IncIncl,IncDocDate,"&lt;="&amp;$R$2,IncInvoice,$A42,IncCus,$R$1)-SUMIFS(IncPayAmount,IncDocDate,"&lt;="&amp;$R$2,IncPayDate,"&lt;="&amp;$R$2,IncInvoice,$A42,IncCus,$R$1),2)=0,0,1))</f>
        <v>1</v>
      </c>
      <c r="S42" s="99" t="str">
        <f t="shared" ca="1" si="8"/>
        <v>-</v>
      </c>
    </row>
    <row r="43" spans="1:19" ht="15.95" hidden="1" customHeight="1" x14ac:dyDescent="0.25">
      <c r="A43" s="317" t="s">
        <v>744</v>
      </c>
      <c r="B43" s="18">
        <v>45289</v>
      </c>
      <c r="C43" s="12" t="s">
        <v>688</v>
      </c>
      <c r="D43" s="318" t="s">
        <v>691</v>
      </c>
      <c r="E43" s="34">
        <v>1800000</v>
      </c>
      <c r="F43" s="99" t="s">
        <v>654</v>
      </c>
      <c r="H43" s="99" t="s">
        <v>743</v>
      </c>
      <c r="I43" s="35" t="s">
        <v>210</v>
      </c>
      <c r="L43" s="99" cm="1">
        <f t="array" aca="1" ref="L43" ca="1">IF($Q43="N",0,SUMIFS(IncIncl,IncDocDate,"&lt;="&amp;$M$2,IncInvoice,$A43)-SUMIFS(IncPayAmount,IncDocDate,"&lt;="&amp;$M$2,IncPayDate,"&lt;="&amp;$M$2,IncInvoice,$A43))</f>
        <v>1800000</v>
      </c>
      <c r="M43" s="34" cm="1">
        <f t="array" aca="1" ref="M43" ca="1">$P43-IF(IncTaxCount=2,SUM(N43:O43),SUM(N43:N43))</f>
        <v>1525423.7288135593</v>
      </c>
      <c r="N43" s="34">
        <f ca="1">$P43/(1+IF(ISERROR($F43),0,IF(ISNA(MATCH($F43,TaxCode,0)),0,OFFSET(Setup!$D$23,MATCH($F43,TaxCode,0),0,1,1)))+IF(ISERROR($G43),0,IF(ISNA(MATCH($G43,TaxCode,0)),0,OFFSET(Setup!$D$23,MATCH($G43,TaxCode,0),0,1,1))))*IF(ISERROR($F43),0,IF(ISNA(MATCH($F43,TaxCode,0)),0,OFFSET(Setup!$D$23,MATCH($F43,TaxCode,0),0,1,1)))</f>
        <v>274576.27118644072</v>
      </c>
      <c r="O43" s="34">
        <f ca="1">$P43/(1+IF(ISERROR($F43),0,IF(ISNA(MATCH($F43,TaxCode,0)),0,OFFSET(Setup!$D$23,MATCH($F43,TaxCode,0),0,1,1)))+IF(ISERROR($G43),0,IF(ISNA(MATCH($G43,TaxCode,0)),0,OFFSET(Setup!$D$23,MATCH($G43,TaxCode,0),0,1,1))))*IF(ISERROR($G43),0,IF(ISNA(MATCH($G43,TaxCode,0)),0,OFFSET(Setup!$D$23,MATCH($G43,TaxCode,0),0,1,1)))</f>
        <v>0</v>
      </c>
      <c r="P43" s="34">
        <f t="shared" si="6"/>
        <v>1800000</v>
      </c>
      <c r="Q43" s="86" t="str">
        <f t="shared" si="7"/>
        <v>Y</v>
      </c>
      <c r="R43" s="86" cm="1">
        <f t="array" ref="R43">IF($Q43="N",0,IF(ROUND(SUMIFS(IncIncl,IncDocDate,"&lt;="&amp;$R$2,IncInvoice,$A43,IncCus,$R$1)-SUMIFS(IncPayAmount,IncDocDate,"&lt;="&amp;$R$2,IncPayDate,"&lt;="&amp;$R$2,IncInvoice,$A43,IncCus,$R$1),2)=0,0,1))</f>
        <v>0</v>
      </c>
      <c r="S43" s="99" t="str">
        <f t="shared" ca="1" si="8"/>
        <v>-</v>
      </c>
    </row>
    <row r="44" spans="1:19" ht="15.95" hidden="1" customHeight="1" x14ac:dyDescent="0.25">
      <c r="A44" s="317" t="s">
        <v>745</v>
      </c>
      <c r="B44" s="18">
        <v>45296</v>
      </c>
      <c r="C44" s="12" t="s">
        <v>696</v>
      </c>
      <c r="D44" s="318" t="s">
        <v>746</v>
      </c>
      <c r="E44" s="34">
        <v>64031520</v>
      </c>
      <c r="F44" s="99" t="s">
        <v>654</v>
      </c>
      <c r="H44" s="99" t="s">
        <v>684</v>
      </c>
      <c r="I44" s="35" t="s">
        <v>211</v>
      </c>
      <c r="L44" s="99" cm="1">
        <f t="array" aca="1" ref="L44" ca="1">IF($Q44="N",0,SUMIFS(IncIncl,IncDocDate,"&lt;="&amp;$M$2,IncInvoice,$A44)-SUMIFS(IncPayAmount,IncDocDate,"&lt;="&amp;$M$2,IncPayDate,"&lt;="&amp;$M$2,IncInvoice,$A44))</f>
        <v>64031520</v>
      </c>
      <c r="M44" s="34" cm="1">
        <f t="array" aca="1" ref="M44" ca="1">$P44-IF(IncTaxCount=2,SUM(N44:O44),SUM(N44:N44))</f>
        <v>54264000</v>
      </c>
      <c r="N44" s="34">
        <f ca="1">$P44/(1+IF(ISERROR($F44),0,IF(ISNA(MATCH($F44,TaxCode,0)),0,OFFSET(Setup!$D$23,MATCH($F44,TaxCode,0),0,1,1)))+IF(ISERROR($G44),0,IF(ISNA(MATCH($G44,TaxCode,0)),0,OFFSET(Setup!$D$23,MATCH($G44,TaxCode,0),0,1,1))))*IF(ISERROR($F44),0,IF(ISNA(MATCH($F44,TaxCode,0)),0,OFFSET(Setup!$D$23,MATCH($F44,TaxCode,0),0,1,1)))</f>
        <v>9767520</v>
      </c>
      <c r="O44" s="34">
        <f ca="1">$P44/(1+IF(ISERROR($F44),0,IF(ISNA(MATCH($F44,TaxCode,0)),0,OFFSET(Setup!$D$23,MATCH($F44,TaxCode,0),0,1,1)))+IF(ISERROR($G44),0,IF(ISNA(MATCH($G44,TaxCode,0)),0,OFFSET(Setup!$D$23,MATCH($G44,TaxCode,0),0,1,1))))*IF(ISERROR($G44),0,IF(ISNA(MATCH($G44,TaxCode,0)),0,OFFSET(Setup!$D$23,MATCH($G44,TaxCode,0),0,1,1)))</f>
        <v>0</v>
      </c>
      <c r="P44" s="34">
        <f t="shared" si="6"/>
        <v>64031520</v>
      </c>
      <c r="Q44" s="86" t="str">
        <f t="shared" si="7"/>
        <v>Y</v>
      </c>
      <c r="R44" s="86" cm="1">
        <f t="array" ref="R44">IF($Q44="N",0,IF(ROUND(SUMIFS(IncIncl,IncDocDate,"&lt;="&amp;$R$2,IncInvoice,$A44,IncCus,$R$1)-SUMIFS(IncPayAmount,IncDocDate,"&lt;="&amp;$R$2,IncPayDate,"&lt;="&amp;$R$2,IncInvoice,$A44,IncCus,$R$1),2)=0,0,1))</f>
        <v>0</v>
      </c>
      <c r="S44" s="99" t="str">
        <f t="shared" ca="1" si="8"/>
        <v>-</v>
      </c>
    </row>
    <row r="45" spans="1:19" ht="15.95" hidden="1" customHeight="1" x14ac:dyDescent="0.25">
      <c r="A45" s="317" t="s">
        <v>747</v>
      </c>
      <c r="B45" s="18">
        <v>45296</v>
      </c>
      <c r="C45" s="12" t="s">
        <v>698</v>
      </c>
      <c r="D45" s="318" t="s">
        <v>746</v>
      </c>
      <c r="E45" s="34">
        <v>7816320</v>
      </c>
      <c r="F45" s="99" t="s">
        <v>654</v>
      </c>
      <c r="H45" s="99" t="s">
        <v>684</v>
      </c>
      <c r="I45" s="35" t="s">
        <v>211</v>
      </c>
      <c r="L45" s="99" cm="1">
        <f t="array" aca="1" ref="L45" ca="1">IF($Q45="N",0,SUMIFS(IncIncl,IncDocDate,"&lt;="&amp;$M$2,IncInvoice,$A45)-SUMIFS(IncPayAmount,IncDocDate,"&lt;="&amp;$M$2,IncPayDate,"&lt;="&amp;$M$2,IncInvoice,$A45))</f>
        <v>7816320</v>
      </c>
      <c r="M45" s="34" cm="1">
        <f t="array" aca="1" ref="M45" ca="1">$P45-IF(IncTaxCount=2,SUM(N45:O45),SUM(N45:N45))</f>
        <v>6624000</v>
      </c>
      <c r="N45" s="34">
        <f ca="1">$P45/(1+IF(ISERROR($F45),0,IF(ISNA(MATCH($F45,TaxCode,0)),0,OFFSET(Setup!$D$23,MATCH($F45,TaxCode,0),0,1,1)))+IF(ISERROR($G45),0,IF(ISNA(MATCH($G45,TaxCode,0)),0,OFFSET(Setup!$D$23,MATCH($G45,TaxCode,0),0,1,1))))*IF(ISERROR($F45),0,IF(ISNA(MATCH($F45,TaxCode,0)),0,OFFSET(Setup!$D$23,MATCH($F45,TaxCode,0),0,1,1)))</f>
        <v>1192320</v>
      </c>
      <c r="O45" s="34">
        <f ca="1">$P45/(1+IF(ISERROR($F45),0,IF(ISNA(MATCH($F45,TaxCode,0)),0,OFFSET(Setup!$D$23,MATCH($F45,TaxCode,0),0,1,1)))+IF(ISERROR($G45),0,IF(ISNA(MATCH($G45,TaxCode,0)),0,OFFSET(Setup!$D$23,MATCH($G45,TaxCode,0),0,1,1))))*IF(ISERROR($G45),0,IF(ISNA(MATCH($G45,TaxCode,0)),0,OFFSET(Setup!$D$23,MATCH($G45,TaxCode,0),0,1,1)))</f>
        <v>0</v>
      </c>
      <c r="P45" s="34">
        <f t="shared" si="6"/>
        <v>7816320</v>
      </c>
      <c r="Q45" s="86" t="str">
        <f t="shared" si="7"/>
        <v>Y</v>
      </c>
      <c r="R45" s="86" cm="1">
        <f t="array" ref="R45">IF($Q45="N",0,IF(ROUND(SUMIFS(IncIncl,IncDocDate,"&lt;="&amp;$R$2,IncInvoice,$A45,IncCus,$R$1)-SUMIFS(IncPayAmount,IncDocDate,"&lt;="&amp;$R$2,IncPayDate,"&lt;="&amp;$R$2,IncInvoice,$A45,IncCus,$R$1),2)=0,0,1))</f>
        <v>0</v>
      </c>
      <c r="S45" s="99" t="str">
        <f t="shared" ca="1" si="8"/>
        <v>-</v>
      </c>
    </row>
    <row r="46" spans="1:19" ht="15.95" hidden="1" customHeight="1" x14ac:dyDescent="0.25">
      <c r="A46" s="317" t="s">
        <v>748</v>
      </c>
      <c r="B46" s="18">
        <v>45296</v>
      </c>
      <c r="C46" s="12" t="s">
        <v>717</v>
      </c>
      <c r="D46" s="318" t="s">
        <v>746</v>
      </c>
      <c r="E46" s="34">
        <v>1530696</v>
      </c>
      <c r="F46" s="99" t="s">
        <v>654</v>
      </c>
      <c r="H46" s="99" t="s">
        <v>684</v>
      </c>
      <c r="I46" s="35" t="s">
        <v>211</v>
      </c>
      <c r="L46" s="99" cm="1">
        <f t="array" aca="1" ref="L46" ca="1">IF($Q46="N",0,SUMIFS(IncIncl,IncDocDate,"&lt;="&amp;$M$2,IncInvoice,$A46)-SUMIFS(IncPayAmount,IncDocDate,"&lt;="&amp;$M$2,IncPayDate,"&lt;="&amp;$M$2,IncInvoice,$A46))</f>
        <v>1530696</v>
      </c>
      <c r="M46" s="34" cm="1">
        <f t="array" aca="1" ref="M46" ca="1">$P46-IF(IncTaxCount=2,SUM(N46:O46),SUM(N46:N46))</f>
        <v>1297200</v>
      </c>
      <c r="N46" s="34">
        <f ca="1">$P46/(1+IF(ISERROR($F46),0,IF(ISNA(MATCH($F46,TaxCode,0)),0,OFFSET(Setup!$D$23,MATCH($F46,TaxCode,0),0,1,1)))+IF(ISERROR($G46),0,IF(ISNA(MATCH($G46,TaxCode,0)),0,OFFSET(Setup!$D$23,MATCH($G46,TaxCode,0),0,1,1))))*IF(ISERROR($F46),0,IF(ISNA(MATCH($F46,TaxCode,0)),0,OFFSET(Setup!$D$23,MATCH($F46,TaxCode,0),0,1,1)))</f>
        <v>233496</v>
      </c>
      <c r="O46" s="34">
        <f ca="1">$P46/(1+IF(ISERROR($F46),0,IF(ISNA(MATCH($F46,TaxCode,0)),0,OFFSET(Setup!$D$23,MATCH($F46,TaxCode,0),0,1,1)))+IF(ISERROR($G46),0,IF(ISNA(MATCH($G46,TaxCode,0)),0,OFFSET(Setup!$D$23,MATCH($G46,TaxCode,0),0,1,1))))*IF(ISERROR($G46),0,IF(ISNA(MATCH($G46,TaxCode,0)),0,OFFSET(Setup!$D$23,MATCH($G46,TaxCode,0),0,1,1)))</f>
        <v>0</v>
      </c>
      <c r="P46" s="34">
        <f t="shared" si="6"/>
        <v>1530696</v>
      </c>
      <c r="Q46" s="86" t="str">
        <f t="shared" si="7"/>
        <v>Y</v>
      </c>
      <c r="R46" s="86" cm="1">
        <f t="array" ref="R46">IF($Q46="N",0,IF(ROUND(SUMIFS(IncIncl,IncDocDate,"&lt;="&amp;$R$2,IncInvoice,$A46,IncCus,$R$1)-SUMIFS(IncPayAmount,IncDocDate,"&lt;="&amp;$R$2,IncPayDate,"&lt;="&amp;$R$2,IncInvoice,$A46,IncCus,$R$1),2)=0,0,1))</f>
        <v>0</v>
      </c>
      <c r="S46" s="99" t="str">
        <f t="shared" ca="1" si="8"/>
        <v>-</v>
      </c>
    </row>
    <row r="47" spans="1:19" ht="15.95" hidden="1" customHeight="1" x14ac:dyDescent="0.25">
      <c r="A47" s="317" t="s">
        <v>752</v>
      </c>
      <c r="B47" s="18">
        <v>44928</v>
      </c>
      <c r="C47" s="12" t="s">
        <v>702</v>
      </c>
      <c r="D47" s="318" t="s">
        <v>691</v>
      </c>
      <c r="E47" s="34">
        <v>2300000</v>
      </c>
      <c r="F47" s="99" t="s">
        <v>654</v>
      </c>
      <c r="H47" s="308" t="s">
        <v>743</v>
      </c>
      <c r="I47" s="35" t="s">
        <v>210</v>
      </c>
      <c r="L47" s="99" cm="1">
        <f t="array" aca="1" ref="L47" ca="1">IF($Q47="N",0,SUMIFS(IncIncl,IncDocDate,"&lt;="&amp;$M$2,IncInvoice,$A47)-SUMIFS(IncPayAmount,IncDocDate,"&lt;="&amp;$M$2,IncPayDate,"&lt;="&amp;$M$2,IncInvoice,$A47))</f>
        <v>2300000</v>
      </c>
      <c r="M47" s="34" cm="1">
        <f t="array" aca="1" ref="M47" ca="1">$P47-IF(IncTaxCount=2,SUM(N47:O47),SUM(N47:N47))</f>
        <v>1949152.5423728814</v>
      </c>
      <c r="N47" s="34">
        <f ca="1">$P47/(1+IF(ISERROR($F47),0,IF(ISNA(MATCH($F47,TaxCode,0)),0,OFFSET(Setup!$D$23,MATCH($F47,TaxCode,0),0,1,1)))+IF(ISERROR($G47),0,IF(ISNA(MATCH($G47,TaxCode,0)),0,OFFSET(Setup!$D$23,MATCH($G47,TaxCode,0),0,1,1))))*IF(ISERROR($F47),0,IF(ISNA(MATCH($F47,TaxCode,0)),0,OFFSET(Setup!$D$23,MATCH($F47,TaxCode,0),0,1,1)))</f>
        <v>350847.45762711862</v>
      </c>
      <c r="O47" s="34">
        <f ca="1">$P47/(1+IF(ISERROR($F47),0,IF(ISNA(MATCH($F47,TaxCode,0)),0,OFFSET(Setup!$D$23,MATCH($F47,TaxCode,0),0,1,1)))+IF(ISERROR($G47),0,IF(ISNA(MATCH($G47,TaxCode,0)),0,OFFSET(Setup!$D$23,MATCH($G47,TaxCode,0),0,1,1))))*IF(ISERROR($G47),0,IF(ISNA(MATCH($G47,TaxCode,0)),0,OFFSET(Setup!$D$23,MATCH($G47,TaxCode,0),0,1,1)))</f>
        <v>0</v>
      </c>
      <c r="P47" s="34">
        <f t="shared" si="6"/>
        <v>2300000</v>
      </c>
      <c r="Q47" s="86" t="str">
        <f t="shared" si="7"/>
        <v>Y</v>
      </c>
      <c r="R47" s="86" cm="1">
        <f t="array" ref="R47">IF($Q47="N",0,IF(ROUND(SUMIFS(IncIncl,IncDocDate,"&lt;="&amp;$R$2,IncInvoice,$A47,IncCus,$R$1)-SUMIFS(IncPayAmount,IncDocDate,"&lt;="&amp;$R$2,IncPayDate,"&lt;="&amp;$R$2,IncInvoice,$A47,IncCus,$R$1),2)=0,0,1))</f>
        <v>0</v>
      </c>
      <c r="S47" s="99" t="str">
        <f t="shared" ca="1" si="8"/>
        <v>-</v>
      </c>
    </row>
    <row r="48" spans="1:19" ht="15.95" hidden="1" customHeight="1" x14ac:dyDescent="0.25">
      <c r="A48" s="317" t="s">
        <v>753</v>
      </c>
      <c r="B48" s="18">
        <v>45287</v>
      </c>
      <c r="C48" s="12" t="s">
        <v>704</v>
      </c>
      <c r="D48" s="318" t="s">
        <v>691</v>
      </c>
      <c r="E48" s="34">
        <v>11800000</v>
      </c>
      <c r="F48" s="308" t="s">
        <v>654</v>
      </c>
      <c r="H48" s="308" t="s">
        <v>743</v>
      </c>
      <c r="I48" s="35" t="s">
        <v>210</v>
      </c>
      <c r="L48" s="99" cm="1">
        <f t="array" aca="1" ref="L48" ca="1">IF($Q48="N",0,SUMIFS(IncIncl,IncDocDate,"&lt;="&amp;$M$2,IncInvoice,$A48)-SUMIFS(IncPayAmount,IncDocDate,"&lt;="&amp;$M$2,IncPayDate,"&lt;="&amp;$M$2,IncInvoice,$A48))</f>
        <v>11800000</v>
      </c>
      <c r="M48" s="34" cm="1">
        <f t="array" aca="1" ref="M48" ca="1">$P48-IF(IncTaxCount=2,SUM(N48:O48),SUM(N48:N48))</f>
        <v>10000000</v>
      </c>
      <c r="N48" s="34">
        <f ca="1">$P48/(1+IF(ISERROR($F48),0,IF(ISNA(MATCH($F48,TaxCode,0)),0,OFFSET(Setup!$D$23,MATCH($F48,TaxCode,0),0,1,1)))+IF(ISERROR($G48),0,IF(ISNA(MATCH($G48,TaxCode,0)),0,OFFSET(Setup!$D$23,MATCH($G48,TaxCode,0),0,1,1))))*IF(ISERROR($F48),0,IF(ISNA(MATCH($F48,TaxCode,0)),0,OFFSET(Setup!$D$23,MATCH($F48,TaxCode,0),0,1,1)))</f>
        <v>1800000</v>
      </c>
      <c r="O48" s="34">
        <f ca="1">$P48/(1+IF(ISERROR($F48),0,IF(ISNA(MATCH($F48,TaxCode,0)),0,OFFSET(Setup!$D$23,MATCH($F48,TaxCode,0),0,1,1)))+IF(ISERROR($G48),0,IF(ISNA(MATCH($G48,TaxCode,0)),0,OFFSET(Setup!$D$23,MATCH($G48,TaxCode,0),0,1,1))))*IF(ISERROR($G48),0,IF(ISNA(MATCH($G48,TaxCode,0)),0,OFFSET(Setup!$D$23,MATCH($G48,TaxCode,0),0,1,1)))</f>
        <v>0</v>
      </c>
      <c r="P48" s="34">
        <f t="shared" si="6"/>
        <v>11800000</v>
      </c>
      <c r="Q48" s="86" t="str">
        <f t="shared" si="7"/>
        <v>Y</v>
      </c>
      <c r="R48" s="86" cm="1">
        <f t="array" ref="R48">IF($Q48="N",0,IF(ROUND(SUMIFS(IncIncl,IncDocDate,"&lt;="&amp;$R$2,IncInvoice,$A48,IncCus,$R$1)-SUMIFS(IncPayAmount,IncDocDate,"&lt;="&amp;$R$2,IncPayDate,"&lt;="&amp;$R$2,IncInvoice,$A48,IncCus,$R$1),2)=0,0,1))</f>
        <v>0</v>
      </c>
      <c r="S48" s="99" t="str">
        <f t="shared" ca="1" si="8"/>
        <v>-</v>
      </c>
    </row>
    <row r="49" spans="1:19" ht="15.95" hidden="1" customHeight="1" x14ac:dyDescent="0.25">
      <c r="A49" s="317" t="s">
        <v>754</v>
      </c>
      <c r="B49" s="18">
        <v>45306</v>
      </c>
      <c r="C49" s="12" t="s">
        <v>719</v>
      </c>
      <c r="D49" s="318" t="s">
        <v>755</v>
      </c>
      <c r="E49" s="34">
        <v>13557491.970000001</v>
      </c>
      <c r="F49" s="99" t="s">
        <v>654</v>
      </c>
      <c r="H49" s="99" t="s">
        <v>111</v>
      </c>
      <c r="I49" s="35" t="s">
        <v>740</v>
      </c>
      <c r="L49" s="99" cm="1">
        <f t="array" aca="1" ref="L49" ca="1">IF($Q49="N",0,SUMIFS(IncIncl,IncDocDate,"&lt;="&amp;$M$2,IncInvoice,$A49)-SUMIFS(IncPayAmount,IncDocDate,"&lt;="&amp;$M$2,IncPayDate,"&lt;="&amp;$M$2,IncInvoice,$A49))</f>
        <v>13557491.970000001</v>
      </c>
      <c r="M49" s="34" cm="1">
        <f t="array" aca="1" ref="M49" ca="1">$P49-IF(IncTaxCount=2,SUM(N49:O49),SUM(N49:N49))</f>
        <v>11489399.974576272</v>
      </c>
      <c r="N49" s="34">
        <f ca="1">$P49/(1+IF(ISERROR($F49),0,IF(ISNA(MATCH($F49,TaxCode,0)),0,OFFSET(Setup!$D$23,MATCH($F49,TaxCode,0),0,1,1)))+IF(ISERROR($G49),0,IF(ISNA(MATCH($G49,TaxCode,0)),0,OFFSET(Setup!$D$23,MATCH($G49,TaxCode,0),0,1,1))))*IF(ISERROR($F49),0,IF(ISNA(MATCH($F49,TaxCode,0)),0,OFFSET(Setup!$D$23,MATCH($F49,TaxCode,0),0,1,1)))</f>
        <v>2068091.9954237288</v>
      </c>
      <c r="O49" s="34">
        <f ca="1">$P49/(1+IF(ISERROR($F49),0,IF(ISNA(MATCH($F49,TaxCode,0)),0,OFFSET(Setup!$D$23,MATCH($F49,TaxCode,0),0,1,1)))+IF(ISERROR($G49),0,IF(ISNA(MATCH($G49,TaxCode,0)),0,OFFSET(Setup!$D$23,MATCH($G49,TaxCode,0),0,1,1))))*IF(ISERROR($G49),0,IF(ISNA(MATCH($G49,TaxCode,0)),0,OFFSET(Setup!$D$23,MATCH($G49,TaxCode,0),0,1,1)))</f>
        <v>0</v>
      </c>
      <c r="P49" s="34">
        <f t="shared" si="6"/>
        <v>13557491.970000001</v>
      </c>
      <c r="Q49" s="86" t="str">
        <f t="shared" si="7"/>
        <v>Y</v>
      </c>
      <c r="R49" s="86" cm="1">
        <f t="array" ref="R49">IF($Q49="N",0,IF(ROUND(SUMIFS(IncIncl,IncDocDate,"&lt;="&amp;$R$2,IncInvoice,$A49,IncCus,$R$1)-SUMIFS(IncPayAmount,IncDocDate,"&lt;="&amp;$R$2,IncPayDate,"&lt;="&amp;$R$2,IncInvoice,$A49,IncCus,$R$1),2)=0,0,1))</f>
        <v>0</v>
      </c>
      <c r="S49" s="99" t="str">
        <f t="shared" ca="1" si="8"/>
        <v>-</v>
      </c>
    </row>
    <row r="50" spans="1:19" ht="15.95" hidden="1" customHeight="1" x14ac:dyDescent="0.25">
      <c r="A50" s="317" t="s">
        <v>762</v>
      </c>
      <c r="B50" s="18">
        <v>45307</v>
      </c>
      <c r="C50" s="12" t="s">
        <v>707</v>
      </c>
      <c r="D50" s="318" t="s">
        <v>763</v>
      </c>
      <c r="E50" s="34">
        <v>700920</v>
      </c>
      <c r="F50" s="308" t="s">
        <v>654</v>
      </c>
      <c r="H50" s="99" t="s">
        <v>58</v>
      </c>
      <c r="I50" s="35" t="s">
        <v>211</v>
      </c>
      <c r="L50" s="99" cm="1">
        <f t="array" aca="1" ref="L50" ca="1">IF($Q50="N",0,SUMIFS(IncIncl,IncDocDate,"&lt;="&amp;$M$2,IncInvoice,$A50)-SUMIFS(IncPayAmount,IncDocDate,"&lt;="&amp;$M$2,IncPayDate,"&lt;="&amp;$M$2,IncInvoice,$A50))</f>
        <v>700920</v>
      </c>
      <c r="M50" s="34" cm="1">
        <f t="array" aca="1" ref="M50" ca="1">$P50-IF(IncTaxCount=2,SUM(N50:O50),SUM(N50:N50))</f>
        <v>594000</v>
      </c>
      <c r="N50" s="34">
        <f ca="1">$P50/(1+IF(ISERROR($F50),0,IF(ISNA(MATCH($F50,TaxCode,0)),0,OFFSET(Setup!$D$23,MATCH($F50,TaxCode,0),0,1,1)))+IF(ISERROR($G50),0,IF(ISNA(MATCH($G50,TaxCode,0)),0,OFFSET(Setup!$D$23,MATCH($G50,TaxCode,0),0,1,1))))*IF(ISERROR($F50),0,IF(ISNA(MATCH($F50,TaxCode,0)),0,OFFSET(Setup!$D$23,MATCH($F50,TaxCode,0),0,1,1)))</f>
        <v>106920</v>
      </c>
      <c r="O50" s="34">
        <f ca="1">$P50/(1+IF(ISERROR($F50),0,IF(ISNA(MATCH($F50,TaxCode,0)),0,OFFSET(Setup!$D$23,MATCH($F50,TaxCode,0),0,1,1)))+IF(ISERROR($G50),0,IF(ISNA(MATCH($G50,TaxCode,0)),0,OFFSET(Setup!$D$23,MATCH($G50,TaxCode,0),0,1,1))))*IF(ISERROR($G50),0,IF(ISNA(MATCH($G50,TaxCode,0)),0,OFFSET(Setup!$D$23,MATCH($G50,TaxCode,0),0,1,1)))</f>
        <v>0</v>
      </c>
      <c r="P50" s="34">
        <f t="shared" si="6"/>
        <v>700920</v>
      </c>
      <c r="Q50" s="86" t="str">
        <f t="shared" si="7"/>
        <v>Y</v>
      </c>
      <c r="R50" s="86" cm="1">
        <f t="array" ref="R50">IF($Q50="N",0,IF(ROUND(SUMIFS(IncIncl,IncDocDate,"&lt;="&amp;$R$2,IncInvoice,$A50,IncCus,$R$1)-SUMIFS(IncPayAmount,IncDocDate,"&lt;="&amp;$R$2,IncPayDate,"&lt;="&amp;$R$2,IncInvoice,$A50,IncCus,$R$1),2)=0,0,1))</f>
        <v>0</v>
      </c>
      <c r="S50" s="99" t="str">
        <f t="shared" ca="1" si="8"/>
        <v>-</v>
      </c>
    </row>
    <row r="51" spans="1:19" ht="15.95" hidden="1" customHeight="1" x14ac:dyDescent="0.25">
      <c r="A51" s="317" t="s">
        <v>768</v>
      </c>
      <c r="B51" s="18">
        <v>45321</v>
      </c>
      <c r="C51" s="12" t="s">
        <v>706</v>
      </c>
      <c r="D51" s="318" t="s">
        <v>769</v>
      </c>
      <c r="E51" s="34">
        <v>850329.24</v>
      </c>
      <c r="F51" s="308" t="s">
        <v>654</v>
      </c>
      <c r="H51" s="99" t="s">
        <v>675</v>
      </c>
      <c r="I51" s="35" t="s">
        <v>212</v>
      </c>
      <c r="L51" s="99" cm="1">
        <f t="array" aca="1" ref="L51" ca="1">IF($Q51="N",0,SUMIFS(IncIncl,IncDocDate,"&lt;="&amp;$M$2,IncInvoice,$A51)-SUMIFS(IncPayAmount,IncDocDate,"&lt;="&amp;$M$2,IncPayDate,"&lt;="&amp;$M$2,IncInvoice,$A51))</f>
        <v>850329.24</v>
      </c>
      <c r="M51" s="34" cm="1">
        <f t="array" aca="1" ref="M51" ca="1">$P51-IF(IncTaxCount=2,SUM(N51:O51),SUM(N51:N51))</f>
        <v>720618</v>
      </c>
      <c r="N51" s="34">
        <f ca="1">$P51/(1+IF(ISERROR($F51),0,IF(ISNA(MATCH($F51,TaxCode,0)),0,OFFSET(Setup!$D$23,MATCH($F51,TaxCode,0),0,1,1)))+IF(ISERROR($G51),0,IF(ISNA(MATCH($G51,TaxCode,0)),0,OFFSET(Setup!$D$23,MATCH($G51,TaxCode,0),0,1,1))))*IF(ISERROR($F51),0,IF(ISNA(MATCH($F51,TaxCode,0)),0,OFFSET(Setup!$D$23,MATCH($F51,TaxCode,0),0,1,1)))</f>
        <v>129711.23999999999</v>
      </c>
      <c r="O51" s="34">
        <f ca="1">$P51/(1+IF(ISERROR($F51),0,IF(ISNA(MATCH($F51,TaxCode,0)),0,OFFSET(Setup!$D$23,MATCH($F51,TaxCode,0),0,1,1)))+IF(ISERROR($G51),0,IF(ISNA(MATCH($G51,TaxCode,0)),0,OFFSET(Setup!$D$23,MATCH($G51,TaxCode,0),0,1,1))))*IF(ISERROR($G51),0,IF(ISNA(MATCH($G51,TaxCode,0)),0,OFFSET(Setup!$D$23,MATCH($G51,TaxCode,0),0,1,1)))</f>
        <v>0</v>
      </c>
      <c r="P51" s="34">
        <f t="shared" si="6"/>
        <v>850329.24</v>
      </c>
      <c r="Q51" s="86" t="str">
        <f t="shared" si="7"/>
        <v>Y</v>
      </c>
      <c r="R51" s="86" cm="1">
        <f t="array" ref="R51">IF($Q51="N",0,IF(ROUND(SUMIFS(IncIncl,IncDocDate,"&lt;="&amp;$R$2,IncInvoice,$A51,IncCus,$R$1)-SUMIFS(IncPayAmount,IncDocDate,"&lt;="&amp;$R$2,IncPayDate,"&lt;="&amp;$R$2,IncInvoice,$A51,IncCus,$R$1),2)=0,0,1))</f>
        <v>0</v>
      </c>
      <c r="S51" s="99" t="str">
        <f t="shared" ca="1" si="8"/>
        <v>-</v>
      </c>
    </row>
    <row r="52" spans="1:19" ht="15.95" hidden="1" customHeight="1" x14ac:dyDescent="0.25">
      <c r="A52" s="317" t="s">
        <v>770</v>
      </c>
      <c r="B52" s="18">
        <v>45296</v>
      </c>
      <c r="C52" s="12" t="s">
        <v>714</v>
      </c>
      <c r="D52" s="318" t="s">
        <v>771</v>
      </c>
      <c r="E52" s="34">
        <v>636020</v>
      </c>
      <c r="F52" s="308" t="s">
        <v>654</v>
      </c>
      <c r="H52" s="99" t="s">
        <v>111</v>
      </c>
      <c r="I52" s="35" t="s">
        <v>740</v>
      </c>
      <c r="L52" s="99" cm="1">
        <f t="array" aca="1" ref="L52" ca="1">IF($Q52="N",0,SUMIFS(IncIncl,IncDocDate,"&lt;="&amp;$M$2,IncInvoice,$A52)-SUMIFS(IncPayAmount,IncDocDate,"&lt;="&amp;$M$2,IncPayDate,"&lt;="&amp;$M$2,IncInvoice,$A52))</f>
        <v>636020</v>
      </c>
      <c r="M52" s="34" cm="1">
        <f t="array" aca="1" ref="M52" ca="1">$P52-IF(IncTaxCount=2,SUM(N52:O52),SUM(N52:N52))</f>
        <v>539000</v>
      </c>
      <c r="N52" s="34">
        <f ca="1">$P52/(1+IF(ISERROR($F52),0,IF(ISNA(MATCH($F52,TaxCode,0)),0,OFFSET(Setup!$D$23,MATCH($F52,TaxCode,0),0,1,1)))+IF(ISERROR($G52),0,IF(ISNA(MATCH($G52,TaxCode,0)),0,OFFSET(Setup!$D$23,MATCH($G52,TaxCode,0),0,1,1))))*IF(ISERROR($F52),0,IF(ISNA(MATCH($F52,TaxCode,0)),0,OFFSET(Setup!$D$23,MATCH($F52,TaxCode,0),0,1,1)))</f>
        <v>97020</v>
      </c>
      <c r="O52" s="34">
        <f ca="1">$P52/(1+IF(ISERROR($F52),0,IF(ISNA(MATCH($F52,TaxCode,0)),0,OFFSET(Setup!$D$23,MATCH($F52,TaxCode,0),0,1,1)))+IF(ISERROR($G52),0,IF(ISNA(MATCH($G52,TaxCode,0)),0,OFFSET(Setup!$D$23,MATCH($G52,TaxCode,0),0,1,1))))*IF(ISERROR($G52),0,IF(ISNA(MATCH($G52,TaxCode,0)),0,OFFSET(Setup!$D$23,MATCH($G52,TaxCode,0),0,1,1)))</f>
        <v>0</v>
      </c>
      <c r="P52" s="34">
        <f t="shared" si="6"/>
        <v>636020</v>
      </c>
      <c r="Q52" s="86" t="str">
        <f t="shared" si="7"/>
        <v>Y</v>
      </c>
      <c r="R52" s="86" cm="1">
        <f t="array" ref="R52">IF($Q52="N",0,IF(ROUND(SUMIFS(IncIncl,IncDocDate,"&lt;="&amp;$R$2,IncInvoice,$A52,IncCus,$R$1)-SUMIFS(IncPayAmount,IncDocDate,"&lt;="&amp;$R$2,IncPayDate,"&lt;="&amp;$R$2,IncInvoice,$A52,IncCus,$R$1),2)=0,0,1))</f>
        <v>0</v>
      </c>
      <c r="S52" s="99" t="str">
        <f t="shared" ca="1" si="8"/>
        <v>-</v>
      </c>
    </row>
    <row r="53" spans="1:19" ht="15.95" hidden="1" customHeight="1" x14ac:dyDescent="0.25">
      <c r="A53" s="317" t="s">
        <v>783</v>
      </c>
      <c r="B53" s="18">
        <v>45334</v>
      </c>
      <c r="C53" s="12" t="s">
        <v>709</v>
      </c>
      <c r="D53" s="318" t="s">
        <v>784</v>
      </c>
      <c r="E53" s="34">
        <v>4129847.1</v>
      </c>
      <c r="F53" s="308" t="s">
        <v>654</v>
      </c>
      <c r="H53" s="99" t="s">
        <v>111</v>
      </c>
      <c r="I53" s="338" t="s">
        <v>212</v>
      </c>
      <c r="L53" s="99" cm="1">
        <f t="array" aca="1" ref="L53" ca="1">IF($Q53="N",0,SUMIFS(IncIncl,IncDocDate,"&lt;="&amp;$M$2,IncInvoice,$A53)-SUMIFS(IncPayAmount,IncDocDate,"&lt;="&amp;$M$2,IncPayDate,"&lt;="&amp;$M$2,IncInvoice,$A53))</f>
        <v>4129847.1</v>
      </c>
      <c r="M53" s="34" cm="1">
        <f t="array" aca="1" ref="M53" ca="1">$P53-IF(IncTaxCount=2,SUM(N53:O53),SUM(N53:N53))</f>
        <v>3499870.4237288134</v>
      </c>
      <c r="N53" s="34">
        <f ca="1">$P53/(1+IF(ISERROR($F53),0,IF(ISNA(MATCH($F53,TaxCode,0)),0,OFFSET(Setup!$D$23,MATCH($F53,TaxCode,0),0,1,1)))+IF(ISERROR($G53),0,IF(ISNA(MATCH($G53,TaxCode,0)),0,OFFSET(Setup!$D$23,MATCH($G53,TaxCode,0),0,1,1))))*IF(ISERROR($F53),0,IF(ISNA(MATCH($F53,TaxCode,0)),0,OFFSET(Setup!$D$23,MATCH($F53,TaxCode,0),0,1,1)))</f>
        <v>629976.67627118644</v>
      </c>
      <c r="O53" s="34">
        <f ca="1">$P53/(1+IF(ISERROR($F53),0,IF(ISNA(MATCH($F53,TaxCode,0)),0,OFFSET(Setup!$D$23,MATCH($F53,TaxCode,0),0,1,1)))+IF(ISERROR($G53),0,IF(ISNA(MATCH($G53,TaxCode,0)),0,OFFSET(Setup!$D$23,MATCH($G53,TaxCode,0),0,1,1))))*IF(ISERROR($G53),0,IF(ISNA(MATCH($G53,TaxCode,0)),0,OFFSET(Setup!$D$23,MATCH($G53,TaxCode,0),0,1,1)))</f>
        <v>0</v>
      </c>
      <c r="P53" s="34">
        <f t="shared" si="6"/>
        <v>4129847.1</v>
      </c>
      <c r="Q53" s="86" t="str">
        <f t="shared" si="7"/>
        <v>Y</v>
      </c>
      <c r="R53" s="86" cm="1">
        <f t="array" ref="R53">IF($Q53="N",0,IF(ROUND(SUMIFS(IncIncl,IncDocDate,"&lt;="&amp;$R$2,IncInvoice,$A53,IncCus,$R$1)-SUMIFS(IncPayAmount,IncDocDate,"&lt;="&amp;$R$2,IncPayDate,"&lt;="&amp;$R$2,IncInvoice,$A53,IncCus,$R$1),2)=0,0,1))</f>
        <v>0</v>
      </c>
      <c r="S53" s="99" t="str">
        <f t="shared" ca="1" si="8"/>
        <v>-</v>
      </c>
    </row>
    <row r="54" spans="1:19" ht="15.95" hidden="1" customHeight="1" x14ac:dyDescent="0.25">
      <c r="L54" s="99" cm="1">
        <f t="array" ref="L54">IF($Q54="N",0,SUMIFS(IncIncl,IncDocDate,"&lt;="&amp;$M$2,IncInvoice,$A54)-SUMIFS(IncPayAmount,IncDocDate,"&lt;="&amp;$M$2,IncPayDate,"&lt;="&amp;$M$2,IncInvoice,$A54))</f>
        <v>0</v>
      </c>
      <c r="M54" s="34" cm="1">
        <f t="array" aca="1" ref="M54" ca="1">$P54-IF(IncTaxCount=2,SUM(N54:O54),SUM(N54:N54))</f>
        <v>0</v>
      </c>
      <c r="N54" s="34">
        <f ca="1">$P54/(1+IF(ISERROR($F54),0,IF(ISNA(MATCH($F54,TaxCode,0)),0,OFFSET(Setup!$D$23,MATCH($F54,TaxCode,0),0,1,1)))+IF(ISERROR($G54),0,IF(ISNA(MATCH($G54,TaxCode,0)),0,OFFSET(Setup!$D$23,MATCH($G54,TaxCode,0),0,1,1))))*IF(ISERROR($F54),0,IF(ISNA(MATCH($F54,TaxCode,0)),0,OFFSET(Setup!$D$23,MATCH($F54,TaxCode,0),0,1,1)))</f>
        <v>0</v>
      </c>
      <c r="O54" s="34">
        <f ca="1">$P54/(1+IF(ISERROR($F54),0,IF(ISNA(MATCH($F54,TaxCode,0)),0,OFFSET(Setup!$D$23,MATCH($F54,TaxCode,0),0,1,1)))+IF(ISERROR($G54),0,IF(ISNA(MATCH($G54,TaxCode,0)),0,OFFSET(Setup!$D$23,MATCH($G54,TaxCode,0),0,1,1))))*IF(ISERROR($G54),0,IF(ISNA(MATCH($G54,TaxCode,0)),0,OFFSET(Setup!$D$23,MATCH($G54,TaxCode,0),0,1,1)))</f>
        <v>0</v>
      </c>
      <c r="P54" s="34">
        <f t="shared" si="6"/>
        <v>0</v>
      </c>
      <c r="Q54" s="86" t="str">
        <f t="shared" si="7"/>
        <v>N</v>
      </c>
      <c r="R54" s="86" cm="1">
        <f t="array" ref="R54">IF($Q54="N",0,IF(ROUND(SUMIFS(IncIncl,IncDocDate,"&lt;="&amp;$R$2,IncInvoice,$A54,IncCus,$R$1)-SUMIFS(IncPayAmount,IncDocDate,"&lt;="&amp;$R$2,IncPayDate,"&lt;="&amp;$R$2,IncInvoice,$A54,IncCus,$R$1),2)=0,0,1))</f>
        <v>0</v>
      </c>
      <c r="S54" s="99" t="str">
        <f t="shared" ca="1" si="8"/>
        <v>-</v>
      </c>
    </row>
    <row r="55" spans="1:19" ht="15.95" hidden="1" customHeight="1" x14ac:dyDescent="0.25">
      <c r="L55" s="99" cm="1">
        <f t="array" ref="L55">IF($Q55="N",0,SUMIFS(IncIncl,IncDocDate,"&lt;="&amp;$M$2,IncInvoice,$A55)-SUMIFS(IncPayAmount,IncDocDate,"&lt;="&amp;$M$2,IncPayDate,"&lt;="&amp;$M$2,IncInvoice,$A55))</f>
        <v>0</v>
      </c>
      <c r="M55" s="34" cm="1">
        <f t="array" aca="1" ref="M55" ca="1">$P55-IF(IncTaxCount=2,SUM(N55:O55),SUM(N55:N55))</f>
        <v>0</v>
      </c>
      <c r="N55" s="34">
        <f ca="1">$P55/(1+IF(ISERROR($F55),0,IF(ISNA(MATCH($F55,TaxCode,0)),0,OFFSET(Setup!$D$23,MATCH($F55,TaxCode,0),0,1,1)))+IF(ISERROR($G55),0,IF(ISNA(MATCH($G55,TaxCode,0)),0,OFFSET(Setup!$D$23,MATCH($G55,TaxCode,0),0,1,1))))*IF(ISERROR($F55),0,IF(ISNA(MATCH($F55,TaxCode,0)),0,OFFSET(Setup!$D$23,MATCH($F55,TaxCode,0),0,1,1)))</f>
        <v>0</v>
      </c>
      <c r="O55" s="34">
        <f ca="1">$P55/(1+IF(ISERROR($F55),0,IF(ISNA(MATCH($F55,TaxCode,0)),0,OFFSET(Setup!$D$23,MATCH($F55,TaxCode,0),0,1,1)))+IF(ISERROR($G55),0,IF(ISNA(MATCH($G55,TaxCode,0)),0,OFFSET(Setup!$D$23,MATCH($G55,TaxCode,0),0,1,1))))*IF(ISERROR($G55),0,IF(ISNA(MATCH($G55,TaxCode,0)),0,OFFSET(Setup!$D$23,MATCH($G55,TaxCode,0),0,1,1)))</f>
        <v>0</v>
      </c>
      <c r="P55" s="34">
        <f t="shared" si="6"/>
        <v>0</v>
      </c>
      <c r="Q55" s="86" t="str">
        <f t="shared" si="7"/>
        <v>N</v>
      </c>
      <c r="R55" s="86" cm="1">
        <f t="array" ref="R55">IF($Q55="N",0,IF(ROUND(SUMIFS(IncIncl,IncDocDate,"&lt;="&amp;$R$2,IncInvoice,$A55,IncCus,$R$1)-SUMIFS(IncPayAmount,IncDocDate,"&lt;="&amp;$R$2,IncPayDate,"&lt;="&amp;$R$2,IncInvoice,$A55,IncCus,$R$1),2)=0,0,1))</f>
        <v>0</v>
      </c>
      <c r="S55" s="99" t="str">
        <f t="shared" ca="1" si="8"/>
        <v>-</v>
      </c>
    </row>
    <row r="56" spans="1:19" ht="15.95" hidden="1" customHeight="1" x14ac:dyDescent="0.25">
      <c r="L56" s="99" cm="1">
        <f t="array" ref="L56">IF($Q56="N",0,SUMIFS(IncIncl,IncDocDate,"&lt;="&amp;$M$2,IncInvoice,$A56)-SUMIFS(IncPayAmount,IncDocDate,"&lt;="&amp;$M$2,IncPayDate,"&lt;="&amp;$M$2,IncInvoice,$A56))</f>
        <v>0</v>
      </c>
      <c r="M56" s="34" cm="1">
        <f t="array" aca="1" ref="M56" ca="1">$P56-IF(IncTaxCount=2,SUM(N56:O56),SUM(N56:N56))</f>
        <v>0</v>
      </c>
      <c r="N56" s="34">
        <f ca="1">$P56/(1+IF(ISERROR($F56),0,IF(ISNA(MATCH($F56,TaxCode,0)),0,OFFSET(Setup!$D$23,MATCH($F56,TaxCode,0),0,1,1)))+IF(ISERROR($G56),0,IF(ISNA(MATCH($G56,TaxCode,0)),0,OFFSET(Setup!$D$23,MATCH($G56,TaxCode,0),0,1,1))))*IF(ISERROR($F56),0,IF(ISNA(MATCH($F56,TaxCode,0)),0,OFFSET(Setup!$D$23,MATCH($F56,TaxCode,0),0,1,1)))</f>
        <v>0</v>
      </c>
      <c r="O56" s="34">
        <f ca="1">$P56/(1+IF(ISERROR($F56),0,IF(ISNA(MATCH($F56,TaxCode,0)),0,OFFSET(Setup!$D$23,MATCH($F56,TaxCode,0),0,1,1)))+IF(ISERROR($G56),0,IF(ISNA(MATCH($G56,TaxCode,0)),0,OFFSET(Setup!$D$23,MATCH($G56,TaxCode,0),0,1,1))))*IF(ISERROR($G56),0,IF(ISNA(MATCH($G56,TaxCode,0)),0,OFFSET(Setup!$D$23,MATCH($G56,TaxCode,0),0,1,1)))</f>
        <v>0</v>
      </c>
      <c r="P56" s="34">
        <f t="shared" si="6"/>
        <v>0</v>
      </c>
      <c r="Q56" s="86" t="str">
        <f t="shared" si="7"/>
        <v>N</v>
      </c>
      <c r="R56" s="86" cm="1">
        <f t="array" ref="R56">IF($Q56="N",0,IF(ROUND(SUMIFS(IncIncl,IncDocDate,"&lt;="&amp;$R$2,IncInvoice,$A56,IncCus,$R$1)-SUMIFS(IncPayAmount,IncDocDate,"&lt;="&amp;$R$2,IncPayDate,"&lt;="&amp;$R$2,IncInvoice,$A56,IncCus,$R$1),2)=0,0,1))</f>
        <v>0</v>
      </c>
      <c r="S56" s="99" t="str">
        <f t="shared" ca="1" si="8"/>
        <v>-</v>
      </c>
    </row>
    <row r="57" spans="1:19" ht="15.95" hidden="1" customHeight="1" x14ac:dyDescent="0.25">
      <c r="L57" s="99" cm="1">
        <f t="array" ref="L57">IF($Q57="N",0,SUMIFS(IncIncl,IncDocDate,"&lt;="&amp;$M$2,IncInvoice,$A57)-SUMIFS(IncPayAmount,IncDocDate,"&lt;="&amp;$M$2,IncPayDate,"&lt;="&amp;$M$2,IncInvoice,$A57))</f>
        <v>0</v>
      </c>
      <c r="M57" s="34" cm="1">
        <f t="array" aca="1" ref="M57" ca="1">$P57-IF(IncTaxCount=2,SUM(N57:O57),SUM(N57:N57))</f>
        <v>0</v>
      </c>
      <c r="N57" s="34">
        <f ca="1">$P57/(1+IF(ISERROR($F57),0,IF(ISNA(MATCH($F57,TaxCode,0)),0,OFFSET(Setup!$D$23,MATCH($F57,TaxCode,0),0,1,1)))+IF(ISERROR($G57),0,IF(ISNA(MATCH($G57,TaxCode,0)),0,OFFSET(Setup!$D$23,MATCH($G57,TaxCode,0),0,1,1))))*IF(ISERROR($F57),0,IF(ISNA(MATCH($F57,TaxCode,0)),0,OFFSET(Setup!$D$23,MATCH($F57,TaxCode,0),0,1,1)))</f>
        <v>0</v>
      </c>
      <c r="O57" s="34">
        <f ca="1">$P57/(1+IF(ISERROR($F57),0,IF(ISNA(MATCH($F57,TaxCode,0)),0,OFFSET(Setup!$D$23,MATCH($F57,TaxCode,0),0,1,1)))+IF(ISERROR($G57),0,IF(ISNA(MATCH($G57,TaxCode,0)),0,OFFSET(Setup!$D$23,MATCH($G57,TaxCode,0),0,1,1))))*IF(ISERROR($G57),0,IF(ISNA(MATCH($G57,TaxCode,0)),0,OFFSET(Setup!$D$23,MATCH($G57,TaxCode,0),0,1,1)))</f>
        <v>0</v>
      </c>
      <c r="P57" s="34">
        <f t="shared" si="6"/>
        <v>0</v>
      </c>
      <c r="Q57" s="86" t="str">
        <f t="shared" si="7"/>
        <v>N</v>
      </c>
      <c r="R57" s="86" cm="1">
        <f t="array" ref="R57">IF($Q57="N",0,IF(ROUND(SUMIFS(IncIncl,IncDocDate,"&lt;="&amp;$R$2,IncInvoice,$A57,IncCus,$R$1)-SUMIFS(IncPayAmount,IncDocDate,"&lt;="&amp;$R$2,IncPayDate,"&lt;="&amp;$R$2,IncInvoice,$A57,IncCus,$R$1),2)=0,0,1))</f>
        <v>0</v>
      </c>
      <c r="S57" s="99" t="str">
        <f t="shared" ca="1" si="8"/>
        <v>-</v>
      </c>
    </row>
    <row r="58" spans="1:19" ht="15.95" hidden="1" customHeight="1" x14ac:dyDescent="0.25">
      <c r="L58" s="99" cm="1">
        <f t="array" ref="L58">IF($Q58="N",0,SUMIFS(IncIncl,IncDocDate,"&lt;="&amp;$M$2,IncInvoice,$A58)-SUMIFS(IncPayAmount,IncDocDate,"&lt;="&amp;$M$2,IncPayDate,"&lt;="&amp;$M$2,IncInvoice,$A58))</f>
        <v>0</v>
      </c>
      <c r="M58" s="34" cm="1">
        <f t="array" aca="1" ref="M58" ca="1">$P58-IF(IncTaxCount=2,SUM(N58:O58),SUM(N58:N58))</f>
        <v>0</v>
      </c>
      <c r="N58" s="34">
        <f ca="1">$P58/(1+IF(ISERROR($F58),0,IF(ISNA(MATCH($F58,TaxCode,0)),0,OFFSET(Setup!$D$23,MATCH($F58,TaxCode,0),0,1,1)))+IF(ISERROR($G58),0,IF(ISNA(MATCH($G58,TaxCode,0)),0,OFFSET(Setup!$D$23,MATCH($G58,TaxCode,0),0,1,1))))*IF(ISERROR($F58),0,IF(ISNA(MATCH($F58,TaxCode,0)),0,OFFSET(Setup!$D$23,MATCH($F58,TaxCode,0),0,1,1)))</f>
        <v>0</v>
      </c>
      <c r="O58" s="34">
        <f ca="1">$P58/(1+IF(ISERROR($F58),0,IF(ISNA(MATCH($F58,TaxCode,0)),0,OFFSET(Setup!$D$23,MATCH($F58,TaxCode,0),0,1,1)))+IF(ISERROR($G58),0,IF(ISNA(MATCH($G58,TaxCode,0)),0,OFFSET(Setup!$D$23,MATCH($G58,TaxCode,0),0,1,1))))*IF(ISERROR($G58),0,IF(ISNA(MATCH($G58,TaxCode,0)),0,OFFSET(Setup!$D$23,MATCH($G58,TaxCode,0),0,1,1)))</f>
        <v>0</v>
      </c>
      <c r="P58" s="34">
        <f t="shared" si="6"/>
        <v>0</v>
      </c>
      <c r="Q58" s="86" t="str">
        <f t="shared" si="7"/>
        <v>N</v>
      </c>
      <c r="R58" s="86" cm="1">
        <f t="array" ref="R58">IF($Q58="N",0,IF(ROUND(SUMIFS(IncIncl,IncDocDate,"&lt;="&amp;$R$2,IncInvoice,$A58,IncCus,$R$1)-SUMIFS(IncPayAmount,IncDocDate,"&lt;="&amp;$R$2,IncPayDate,"&lt;="&amp;$R$2,IncInvoice,$A58,IncCus,$R$1),2)=0,0,1))</f>
        <v>0</v>
      </c>
      <c r="S58" s="99" t="str">
        <f t="shared" ca="1" si="8"/>
        <v>-</v>
      </c>
    </row>
    <row r="59" spans="1:19" ht="15.95" hidden="1" customHeight="1" x14ac:dyDescent="0.25">
      <c r="L59" s="99" cm="1">
        <f t="array" ref="L59">IF($Q59="N",0,SUMIFS(IncIncl,IncDocDate,"&lt;="&amp;$M$2,IncInvoice,$A59)-SUMIFS(IncPayAmount,IncDocDate,"&lt;="&amp;$M$2,IncPayDate,"&lt;="&amp;$M$2,IncInvoice,$A59))</f>
        <v>0</v>
      </c>
      <c r="M59" s="34" cm="1">
        <f t="array" aca="1" ref="M59" ca="1">$P59-IF(IncTaxCount=2,SUM(N59:O59),SUM(N59:N59))</f>
        <v>0</v>
      </c>
      <c r="N59" s="34">
        <f ca="1">$P59/(1+IF(ISERROR($F59),0,IF(ISNA(MATCH($F59,TaxCode,0)),0,OFFSET(Setup!$D$23,MATCH($F59,TaxCode,0),0,1,1)))+IF(ISERROR($G59),0,IF(ISNA(MATCH($G59,TaxCode,0)),0,OFFSET(Setup!$D$23,MATCH($G59,TaxCode,0),0,1,1))))*IF(ISERROR($F59),0,IF(ISNA(MATCH($F59,TaxCode,0)),0,OFFSET(Setup!$D$23,MATCH($F59,TaxCode,0),0,1,1)))</f>
        <v>0</v>
      </c>
      <c r="O59" s="34">
        <f ca="1">$P59/(1+IF(ISERROR($F59),0,IF(ISNA(MATCH($F59,TaxCode,0)),0,OFFSET(Setup!$D$23,MATCH($F59,TaxCode,0),0,1,1)))+IF(ISERROR($G59),0,IF(ISNA(MATCH($G59,TaxCode,0)),0,OFFSET(Setup!$D$23,MATCH($G59,TaxCode,0),0,1,1))))*IF(ISERROR($G59),0,IF(ISNA(MATCH($G59,TaxCode,0)),0,OFFSET(Setup!$D$23,MATCH($G59,TaxCode,0),0,1,1)))</f>
        <v>0</v>
      </c>
      <c r="P59" s="34">
        <f t="shared" si="6"/>
        <v>0</v>
      </c>
      <c r="Q59" s="86" t="str">
        <f t="shared" si="7"/>
        <v>N</v>
      </c>
      <c r="R59" s="86" cm="1">
        <f t="array" ref="R59">IF($Q59="N",0,IF(ROUND(SUMIFS(IncIncl,IncDocDate,"&lt;="&amp;$R$2,IncInvoice,$A59,IncCus,$R$1)-SUMIFS(IncPayAmount,IncDocDate,"&lt;="&amp;$R$2,IncPayDate,"&lt;="&amp;$R$2,IncInvoice,$A59,IncCus,$R$1),2)=0,0,1))</f>
        <v>0</v>
      </c>
      <c r="S59" s="99" t="str">
        <f t="shared" ca="1" si="8"/>
        <v>-</v>
      </c>
    </row>
    <row r="60" spans="1:19" ht="15.95" hidden="1" customHeight="1" x14ac:dyDescent="0.25">
      <c r="L60" s="99" cm="1">
        <f t="array" ref="L60">IF($Q60="N",0,SUMIFS(IncIncl,IncDocDate,"&lt;="&amp;$M$2,IncInvoice,$A60)-SUMIFS(IncPayAmount,IncDocDate,"&lt;="&amp;$M$2,IncPayDate,"&lt;="&amp;$M$2,IncInvoice,$A60))</f>
        <v>0</v>
      </c>
      <c r="M60" s="34" cm="1">
        <f t="array" aca="1" ref="M60" ca="1">$P60-IF(IncTaxCount=2,SUM(N60:O60),SUM(N60:N60))</f>
        <v>0</v>
      </c>
      <c r="N60" s="34">
        <f ca="1">$P60/(1+IF(ISERROR($F60),0,IF(ISNA(MATCH($F60,TaxCode,0)),0,OFFSET(Setup!$D$23,MATCH($F60,TaxCode,0),0,1,1)))+IF(ISERROR($G60),0,IF(ISNA(MATCH($G60,TaxCode,0)),0,OFFSET(Setup!$D$23,MATCH($G60,TaxCode,0),0,1,1))))*IF(ISERROR($F60),0,IF(ISNA(MATCH($F60,TaxCode,0)),0,OFFSET(Setup!$D$23,MATCH($F60,TaxCode,0),0,1,1)))</f>
        <v>0</v>
      </c>
      <c r="O60" s="34">
        <f ca="1">$P60/(1+IF(ISERROR($F60),0,IF(ISNA(MATCH($F60,TaxCode,0)),0,OFFSET(Setup!$D$23,MATCH($F60,TaxCode,0),0,1,1)))+IF(ISERROR($G60),0,IF(ISNA(MATCH($G60,TaxCode,0)),0,OFFSET(Setup!$D$23,MATCH($G60,TaxCode,0),0,1,1))))*IF(ISERROR($G60),0,IF(ISNA(MATCH($G60,TaxCode,0)),0,OFFSET(Setup!$D$23,MATCH($G60,TaxCode,0),0,1,1)))</f>
        <v>0</v>
      </c>
      <c r="P60" s="34">
        <f t="shared" si="6"/>
        <v>0</v>
      </c>
      <c r="Q60" s="86" t="str">
        <f t="shared" si="7"/>
        <v>N</v>
      </c>
      <c r="R60" s="86" cm="1">
        <f t="array" ref="R60">IF($Q60="N",0,IF(ROUND(SUMIFS(IncIncl,IncDocDate,"&lt;="&amp;$R$2,IncInvoice,$A60,IncCus,$R$1)-SUMIFS(IncPayAmount,IncDocDate,"&lt;="&amp;$R$2,IncPayDate,"&lt;="&amp;$R$2,IncInvoice,$A60,IncCus,$R$1),2)=0,0,1))</f>
        <v>0</v>
      </c>
      <c r="S60" s="99" t="str">
        <f t="shared" ca="1" si="8"/>
        <v>-</v>
      </c>
    </row>
    <row r="61" spans="1:19" ht="15.95" hidden="1" customHeight="1" x14ac:dyDescent="0.25">
      <c r="L61" s="99" cm="1">
        <f t="array" ref="L61">IF($Q61="N",0,SUMIFS(IncIncl,IncDocDate,"&lt;="&amp;$M$2,IncInvoice,$A61)-SUMIFS(IncPayAmount,IncDocDate,"&lt;="&amp;$M$2,IncPayDate,"&lt;="&amp;$M$2,IncInvoice,$A61))</f>
        <v>0</v>
      </c>
      <c r="M61" s="34" cm="1">
        <f t="array" aca="1" ref="M61" ca="1">$P61-IF(IncTaxCount=2,SUM(N61:O61),SUM(N61:N61))</f>
        <v>0</v>
      </c>
      <c r="N61" s="34">
        <f ca="1">$P61/(1+IF(ISERROR($F61),0,IF(ISNA(MATCH($F61,TaxCode,0)),0,OFFSET(Setup!$D$23,MATCH($F61,TaxCode,0),0,1,1)))+IF(ISERROR($G61),0,IF(ISNA(MATCH($G61,TaxCode,0)),0,OFFSET(Setup!$D$23,MATCH($G61,TaxCode,0),0,1,1))))*IF(ISERROR($F61),0,IF(ISNA(MATCH($F61,TaxCode,0)),0,OFFSET(Setup!$D$23,MATCH($F61,TaxCode,0),0,1,1)))</f>
        <v>0</v>
      </c>
      <c r="O61" s="34">
        <f ca="1">$P61/(1+IF(ISERROR($F61),0,IF(ISNA(MATCH($F61,TaxCode,0)),0,OFFSET(Setup!$D$23,MATCH($F61,TaxCode,0),0,1,1)))+IF(ISERROR($G61),0,IF(ISNA(MATCH($G61,TaxCode,0)),0,OFFSET(Setup!$D$23,MATCH($G61,TaxCode,0),0,1,1))))*IF(ISERROR($G61),0,IF(ISNA(MATCH($G61,TaxCode,0)),0,OFFSET(Setup!$D$23,MATCH($G61,TaxCode,0),0,1,1)))</f>
        <v>0</v>
      </c>
      <c r="P61" s="34">
        <f t="shared" si="6"/>
        <v>0</v>
      </c>
      <c r="Q61" s="86" t="str">
        <f t="shared" si="7"/>
        <v>N</v>
      </c>
      <c r="R61" s="86" cm="1">
        <f t="array" ref="R61">IF($Q61="N",0,IF(ROUND(SUMIFS(IncIncl,IncDocDate,"&lt;="&amp;$R$2,IncInvoice,$A61,IncCus,$R$1)-SUMIFS(IncPayAmount,IncDocDate,"&lt;="&amp;$R$2,IncPayDate,"&lt;="&amp;$R$2,IncInvoice,$A61,IncCus,$R$1),2)=0,0,1))</f>
        <v>0</v>
      </c>
      <c r="S61" s="99" t="str">
        <f t="shared" ca="1" si="8"/>
        <v>-</v>
      </c>
    </row>
    <row r="62" spans="1:19" ht="15.95" hidden="1" customHeight="1" x14ac:dyDescent="0.25">
      <c r="L62" s="99" cm="1">
        <f t="array" ref="L62">IF($Q62="N",0,SUMIFS(IncIncl,IncDocDate,"&lt;="&amp;$M$2,IncInvoice,$A62)-SUMIFS(IncPayAmount,IncDocDate,"&lt;="&amp;$M$2,IncPayDate,"&lt;="&amp;$M$2,IncInvoice,$A62))</f>
        <v>0</v>
      </c>
      <c r="M62" s="34" cm="1">
        <f t="array" aca="1" ref="M62" ca="1">$P62-IF(IncTaxCount=2,SUM(N62:O62),SUM(N62:N62))</f>
        <v>0</v>
      </c>
      <c r="N62" s="34">
        <f ca="1">$P62/(1+IF(ISERROR($F62),0,IF(ISNA(MATCH($F62,TaxCode,0)),0,OFFSET(Setup!$D$23,MATCH($F62,TaxCode,0),0,1,1)))+IF(ISERROR($G62),0,IF(ISNA(MATCH($G62,TaxCode,0)),0,OFFSET(Setup!$D$23,MATCH($G62,TaxCode,0),0,1,1))))*IF(ISERROR($F62),0,IF(ISNA(MATCH($F62,TaxCode,0)),0,OFFSET(Setup!$D$23,MATCH($F62,TaxCode,0),0,1,1)))</f>
        <v>0</v>
      </c>
      <c r="O62" s="34">
        <f ca="1">$P62/(1+IF(ISERROR($F62),0,IF(ISNA(MATCH($F62,TaxCode,0)),0,OFFSET(Setup!$D$23,MATCH($F62,TaxCode,0),0,1,1)))+IF(ISERROR($G62),0,IF(ISNA(MATCH($G62,TaxCode,0)),0,OFFSET(Setup!$D$23,MATCH($G62,TaxCode,0),0,1,1))))*IF(ISERROR($G62),0,IF(ISNA(MATCH($G62,TaxCode,0)),0,OFFSET(Setup!$D$23,MATCH($G62,TaxCode,0),0,1,1)))</f>
        <v>0</v>
      </c>
      <c r="P62" s="34">
        <f t="shared" si="6"/>
        <v>0</v>
      </c>
      <c r="Q62" s="86" t="str">
        <f t="shared" si="7"/>
        <v>N</v>
      </c>
      <c r="R62" s="86" cm="1">
        <f t="array" ref="R62">IF($Q62="N",0,IF(ROUND(SUMIFS(IncIncl,IncDocDate,"&lt;="&amp;$R$2,IncInvoice,$A62,IncCus,$R$1)-SUMIFS(IncPayAmount,IncDocDate,"&lt;="&amp;$R$2,IncPayDate,"&lt;="&amp;$R$2,IncInvoice,$A62,IncCus,$R$1),2)=0,0,1))</f>
        <v>0</v>
      </c>
      <c r="S62" s="99" t="str">
        <f t="shared" ca="1" si="8"/>
        <v>-</v>
      </c>
    </row>
    <row r="63" spans="1:19" ht="15.95" hidden="1" customHeight="1" x14ac:dyDescent="0.25">
      <c r="L63" s="99" cm="1">
        <f t="array" ref="L63">IF($Q63="N",0,SUMIFS(IncIncl,IncDocDate,"&lt;="&amp;$M$2,IncInvoice,$A63)-SUMIFS(IncPayAmount,IncDocDate,"&lt;="&amp;$M$2,IncPayDate,"&lt;="&amp;$M$2,IncInvoice,$A63))</f>
        <v>0</v>
      </c>
      <c r="M63" s="34" cm="1">
        <f t="array" aca="1" ref="M63" ca="1">$P63-IF(IncTaxCount=2,SUM(N63:O63),SUM(N63:N63))</f>
        <v>0</v>
      </c>
      <c r="N63" s="34">
        <f ca="1">$P63/(1+IF(ISERROR($F63),0,IF(ISNA(MATCH($F63,TaxCode,0)),0,OFFSET(Setup!$D$23,MATCH($F63,TaxCode,0),0,1,1)))+IF(ISERROR($G63),0,IF(ISNA(MATCH($G63,TaxCode,0)),0,OFFSET(Setup!$D$23,MATCH($G63,TaxCode,0),0,1,1))))*IF(ISERROR($F63),0,IF(ISNA(MATCH($F63,TaxCode,0)),0,OFFSET(Setup!$D$23,MATCH($F63,TaxCode,0),0,1,1)))</f>
        <v>0</v>
      </c>
      <c r="O63" s="34">
        <f ca="1">$P63/(1+IF(ISERROR($F63),0,IF(ISNA(MATCH($F63,TaxCode,0)),0,OFFSET(Setup!$D$23,MATCH($F63,TaxCode,0),0,1,1)))+IF(ISERROR($G63),0,IF(ISNA(MATCH($G63,TaxCode,0)),0,OFFSET(Setup!$D$23,MATCH($G63,TaxCode,0),0,1,1))))*IF(ISERROR($G63),0,IF(ISNA(MATCH($G63,TaxCode,0)),0,OFFSET(Setup!$D$23,MATCH($G63,TaxCode,0),0,1,1)))</f>
        <v>0</v>
      </c>
      <c r="P63" s="34">
        <f t="shared" si="6"/>
        <v>0</v>
      </c>
      <c r="Q63" s="86" t="str">
        <f t="shared" si="7"/>
        <v>N</v>
      </c>
      <c r="R63" s="86" cm="1">
        <f t="array" ref="R63">IF($Q63="N",0,IF(ROUND(SUMIFS(IncIncl,IncDocDate,"&lt;="&amp;$R$2,IncInvoice,$A63,IncCus,$R$1)-SUMIFS(IncPayAmount,IncDocDate,"&lt;="&amp;$R$2,IncPayDate,"&lt;="&amp;$R$2,IncInvoice,$A63,IncCus,$R$1),2)=0,0,1))</f>
        <v>0</v>
      </c>
      <c r="S63" s="99" t="str">
        <f t="shared" ca="1" si="8"/>
        <v>-</v>
      </c>
    </row>
    <row r="64" spans="1:19" ht="15.95" hidden="1" customHeight="1" x14ac:dyDescent="0.25">
      <c r="L64" s="99" cm="1">
        <f t="array" ref="L64">IF($Q64="N",0,SUMIFS(IncIncl,IncDocDate,"&lt;="&amp;$M$2,IncInvoice,$A64)-SUMIFS(IncPayAmount,IncDocDate,"&lt;="&amp;$M$2,IncPayDate,"&lt;="&amp;$M$2,IncInvoice,$A64))</f>
        <v>0</v>
      </c>
      <c r="M64" s="34" cm="1">
        <f t="array" aca="1" ref="M64" ca="1">$P64-IF(IncTaxCount=2,SUM(N64:O64),SUM(N64:N64))</f>
        <v>0</v>
      </c>
      <c r="N64" s="34">
        <f ca="1">$P64/(1+IF(ISERROR($F64),0,IF(ISNA(MATCH($F64,TaxCode,0)),0,OFFSET(Setup!$D$23,MATCH($F64,TaxCode,0),0,1,1)))+IF(ISERROR($G64),0,IF(ISNA(MATCH($G64,TaxCode,0)),0,OFFSET(Setup!$D$23,MATCH($G64,TaxCode,0),0,1,1))))*IF(ISERROR($F64),0,IF(ISNA(MATCH($F64,TaxCode,0)),0,OFFSET(Setup!$D$23,MATCH($F64,TaxCode,0),0,1,1)))</f>
        <v>0</v>
      </c>
      <c r="O64" s="34">
        <f ca="1">$P64/(1+IF(ISERROR($F64),0,IF(ISNA(MATCH($F64,TaxCode,0)),0,OFFSET(Setup!$D$23,MATCH($F64,TaxCode,0),0,1,1)))+IF(ISERROR($G64),0,IF(ISNA(MATCH($G64,TaxCode,0)),0,OFFSET(Setup!$D$23,MATCH($G64,TaxCode,0),0,1,1))))*IF(ISERROR($G64),0,IF(ISNA(MATCH($G64,TaxCode,0)),0,OFFSET(Setup!$D$23,MATCH($G64,TaxCode,0),0,1,1)))</f>
        <v>0</v>
      </c>
      <c r="P64" s="34">
        <f t="shared" si="6"/>
        <v>0</v>
      </c>
      <c r="Q64" s="86" t="str">
        <f t="shared" si="7"/>
        <v>N</v>
      </c>
      <c r="R64" s="86" cm="1">
        <f t="array" ref="R64">IF($Q64="N",0,IF(ROUND(SUMIFS(IncIncl,IncDocDate,"&lt;="&amp;$R$2,IncInvoice,$A64,IncCus,$R$1)-SUMIFS(IncPayAmount,IncDocDate,"&lt;="&amp;$R$2,IncPayDate,"&lt;="&amp;$R$2,IncInvoice,$A64,IncCus,$R$1),2)=0,0,1))</f>
        <v>0</v>
      </c>
      <c r="S64" s="99" t="str">
        <f t="shared" ca="1" si="8"/>
        <v>-</v>
      </c>
    </row>
    <row r="65" spans="12:19" ht="15.95" hidden="1" customHeight="1" x14ac:dyDescent="0.25">
      <c r="L65" s="99" cm="1">
        <f t="array" ref="L65">IF($Q65="N",0,SUMIFS(IncIncl,IncDocDate,"&lt;="&amp;$M$2,IncInvoice,$A65)-SUMIFS(IncPayAmount,IncDocDate,"&lt;="&amp;$M$2,IncPayDate,"&lt;="&amp;$M$2,IncInvoice,$A65))</f>
        <v>0</v>
      </c>
      <c r="M65" s="34" cm="1">
        <f t="array" aca="1" ref="M65" ca="1">$P65-IF(IncTaxCount=2,SUM(N65:O65),SUM(N65:N65))</f>
        <v>0</v>
      </c>
      <c r="N65" s="34">
        <f ca="1">$P65/(1+IF(ISERROR($F65),0,IF(ISNA(MATCH($F65,TaxCode,0)),0,OFFSET(Setup!$D$23,MATCH($F65,TaxCode,0),0,1,1)))+IF(ISERROR($G65),0,IF(ISNA(MATCH($G65,TaxCode,0)),0,OFFSET(Setup!$D$23,MATCH($G65,TaxCode,0),0,1,1))))*IF(ISERROR($F65),0,IF(ISNA(MATCH($F65,TaxCode,0)),0,OFFSET(Setup!$D$23,MATCH($F65,TaxCode,0),0,1,1)))</f>
        <v>0</v>
      </c>
      <c r="O65" s="34">
        <f ca="1">$P65/(1+IF(ISERROR($F65),0,IF(ISNA(MATCH($F65,TaxCode,0)),0,OFFSET(Setup!$D$23,MATCH($F65,TaxCode,0),0,1,1)))+IF(ISERROR($G65),0,IF(ISNA(MATCH($G65,TaxCode,0)),0,OFFSET(Setup!$D$23,MATCH($G65,TaxCode,0),0,1,1))))*IF(ISERROR($G65),0,IF(ISNA(MATCH($G65,TaxCode,0)),0,OFFSET(Setup!$D$23,MATCH($G65,TaxCode,0),0,1,1)))</f>
        <v>0</v>
      </c>
      <c r="P65" s="34">
        <f t="shared" si="6"/>
        <v>0</v>
      </c>
      <c r="Q65" s="86" t="str">
        <f t="shared" si="7"/>
        <v>N</v>
      </c>
      <c r="R65" s="86" cm="1">
        <f t="array" ref="R65">IF($Q65="N",0,IF(ROUND(SUMIFS(IncIncl,IncDocDate,"&lt;="&amp;$R$2,IncInvoice,$A65,IncCus,$R$1)-SUMIFS(IncPayAmount,IncDocDate,"&lt;="&amp;$R$2,IncPayDate,"&lt;="&amp;$R$2,IncInvoice,$A65,IncCus,$R$1),2)=0,0,1))</f>
        <v>0</v>
      </c>
      <c r="S65" s="99" t="str">
        <f t="shared" ca="1" si="8"/>
        <v>-</v>
      </c>
    </row>
    <row r="66" spans="12:19" ht="15.95" hidden="1" customHeight="1" x14ac:dyDescent="0.25">
      <c r="L66" s="99" cm="1">
        <f t="array" ref="L66">IF($Q66="N",0,SUMIFS(IncIncl,IncDocDate,"&lt;="&amp;$M$2,IncInvoice,$A66)-SUMIFS(IncPayAmount,IncDocDate,"&lt;="&amp;$M$2,IncPayDate,"&lt;="&amp;$M$2,IncInvoice,$A66))</f>
        <v>0</v>
      </c>
      <c r="M66" s="34" cm="1">
        <f t="array" aca="1" ref="M66" ca="1">$P66-IF(IncTaxCount=2,SUM(N66:O66),SUM(N66:N66))</f>
        <v>0</v>
      </c>
      <c r="N66" s="34">
        <f ca="1">$P66/(1+IF(ISERROR($F66),0,IF(ISNA(MATCH($F66,TaxCode,0)),0,OFFSET(Setup!$D$23,MATCH($F66,TaxCode,0),0,1,1)))+IF(ISERROR($G66),0,IF(ISNA(MATCH($G66,TaxCode,0)),0,OFFSET(Setup!$D$23,MATCH($G66,TaxCode,0),0,1,1))))*IF(ISERROR($F66),0,IF(ISNA(MATCH($F66,TaxCode,0)),0,OFFSET(Setup!$D$23,MATCH($F66,TaxCode,0),0,1,1)))</f>
        <v>0</v>
      </c>
      <c r="O66" s="34">
        <f ca="1">$P66/(1+IF(ISERROR($F66),0,IF(ISNA(MATCH($F66,TaxCode,0)),0,OFFSET(Setup!$D$23,MATCH($F66,TaxCode,0),0,1,1)))+IF(ISERROR($G66),0,IF(ISNA(MATCH($G66,TaxCode,0)),0,OFFSET(Setup!$D$23,MATCH($G66,TaxCode,0),0,1,1))))*IF(ISERROR($G66),0,IF(ISNA(MATCH($G66,TaxCode,0)),0,OFFSET(Setup!$D$23,MATCH($G66,TaxCode,0),0,1,1)))</f>
        <v>0</v>
      </c>
      <c r="P66" s="34">
        <f t="shared" si="6"/>
        <v>0</v>
      </c>
      <c r="Q66" s="86" t="str">
        <f t="shared" si="7"/>
        <v>N</v>
      </c>
      <c r="R66" s="86" cm="1">
        <f t="array" ref="R66">IF($Q66="N",0,IF(ROUND(SUMIFS(IncIncl,IncDocDate,"&lt;="&amp;$R$2,IncInvoice,$A66,IncCus,$R$1)-SUMIFS(IncPayAmount,IncDocDate,"&lt;="&amp;$R$2,IncPayDate,"&lt;="&amp;$R$2,IncInvoice,$A66,IncCus,$R$1),2)=0,0,1))</f>
        <v>0</v>
      </c>
      <c r="S66" s="99" t="str">
        <f t="shared" ca="1" si="8"/>
        <v>-</v>
      </c>
    </row>
    <row r="67" spans="12:19" ht="15.95" hidden="1" customHeight="1" x14ac:dyDescent="0.25">
      <c r="L67" s="99" cm="1">
        <f t="array" ref="L67">IF($Q67="N",0,SUMIFS(IncIncl,IncDocDate,"&lt;="&amp;$M$2,IncInvoice,$A67)-SUMIFS(IncPayAmount,IncDocDate,"&lt;="&amp;$M$2,IncPayDate,"&lt;="&amp;$M$2,IncInvoice,$A67))</f>
        <v>0</v>
      </c>
      <c r="M67" s="34" cm="1">
        <f t="array" aca="1" ref="M67" ca="1">$P67-IF(IncTaxCount=2,SUM(N67:O67),SUM(N67:N67))</f>
        <v>0</v>
      </c>
      <c r="N67" s="34">
        <f ca="1">$P67/(1+IF(ISERROR($F67),0,IF(ISNA(MATCH($F67,TaxCode,0)),0,OFFSET(Setup!$D$23,MATCH($F67,TaxCode,0),0,1,1)))+IF(ISERROR($G67),0,IF(ISNA(MATCH($G67,TaxCode,0)),0,OFFSET(Setup!$D$23,MATCH($G67,TaxCode,0),0,1,1))))*IF(ISERROR($F67),0,IF(ISNA(MATCH($F67,TaxCode,0)),0,OFFSET(Setup!$D$23,MATCH($F67,TaxCode,0),0,1,1)))</f>
        <v>0</v>
      </c>
      <c r="O67" s="34">
        <f ca="1">$P67/(1+IF(ISERROR($F67),0,IF(ISNA(MATCH($F67,TaxCode,0)),0,OFFSET(Setup!$D$23,MATCH($F67,TaxCode,0),0,1,1)))+IF(ISERROR($G67),0,IF(ISNA(MATCH($G67,TaxCode,0)),0,OFFSET(Setup!$D$23,MATCH($G67,TaxCode,0),0,1,1))))*IF(ISERROR($G67),0,IF(ISNA(MATCH($G67,TaxCode,0)),0,OFFSET(Setup!$D$23,MATCH($G67,TaxCode,0),0,1,1)))</f>
        <v>0</v>
      </c>
      <c r="P67" s="34">
        <f t="shared" si="6"/>
        <v>0</v>
      </c>
      <c r="Q67" s="86" t="str">
        <f t="shared" si="7"/>
        <v>N</v>
      </c>
      <c r="R67" s="86" cm="1">
        <f t="array" ref="R67">IF($Q67="N",0,IF(ROUND(SUMIFS(IncIncl,IncDocDate,"&lt;="&amp;$R$2,IncInvoice,$A67,IncCus,$R$1)-SUMIFS(IncPayAmount,IncDocDate,"&lt;="&amp;$R$2,IncPayDate,"&lt;="&amp;$R$2,IncInvoice,$A67,IncCus,$R$1),2)=0,0,1))</f>
        <v>0</v>
      </c>
      <c r="S67" s="99" t="str">
        <f t="shared" ca="1" si="8"/>
        <v>-</v>
      </c>
    </row>
    <row r="68" spans="12:19" ht="15.95" hidden="1" customHeight="1" x14ac:dyDescent="0.25">
      <c r="L68" s="99" cm="1">
        <f t="array" ref="L68">IF($Q68="N",0,SUMIFS(IncIncl,IncDocDate,"&lt;="&amp;$M$2,IncInvoice,$A68)-SUMIFS(IncPayAmount,IncDocDate,"&lt;="&amp;$M$2,IncPayDate,"&lt;="&amp;$M$2,IncInvoice,$A68))</f>
        <v>0</v>
      </c>
      <c r="M68" s="34" cm="1">
        <f t="array" aca="1" ref="M68" ca="1">$P68-IF(IncTaxCount=2,SUM(N68:O68),SUM(N68:N68))</f>
        <v>0</v>
      </c>
      <c r="N68" s="34">
        <f ca="1">$P68/(1+IF(ISERROR($F68),0,IF(ISNA(MATCH($F68,TaxCode,0)),0,OFFSET(Setup!$D$23,MATCH($F68,TaxCode,0),0,1,1)))+IF(ISERROR($G68),0,IF(ISNA(MATCH($G68,TaxCode,0)),0,OFFSET(Setup!$D$23,MATCH($G68,TaxCode,0),0,1,1))))*IF(ISERROR($F68),0,IF(ISNA(MATCH($F68,TaxCode,0)),0,OFFSET(Setup!$D$23,MATCH($F68,TaxCode,0),0,1,1)))</f>
        <v>0</v>
      </c>
      <c r="O68" s="34">
        <f ca="1">$P68/(1+IF(ISERROR($F68),0,IF(ISNA(MATCH($F68,TaxCode,0)),0,OFFSET(Setup!$D$23,MATCH($F68,TaxCode,0),0,1,1)))+IF(ISERROR($G68),0,IF(ISNA(MATCH($G68,TaxCode,0)),0,OFFSET(Setup!$D$23,MATCH($G68,TaxCode,0),0,1,1))))*IF(ISERROR($G68),0,IF(ISNA(MATCH($G68,TaxCode,0)),0,OFFSET(Setup!$D$23,MATCH($G68,TaxCode,0),0,1,1)))</f>
        <v>0</v>
      </c>
      <c r="P68" s="34">
        <f t="shared" si="6"/>
        <v>0</v>
      </c>
      <c r="Q68" s="86" t="str">
        <f t="shared" si="7"/>
        <v>N</v>
      </c>
      <c r="R68" s="86" cm="1">
        <f t="array" ref="R68">IF($Q68="N",0,IF(ROUND(SUMIFS(IncIncl,IncDocDate,"&lt;="&amp;$R$2,IncInvoice,$A68,IncCus,$R$1)-SUMIFS(IncPayAmount,IncDocDate,"&lt;="&amp;$R$2,IncPayDate,"&lt;="&amp;$R$2,IncInvoice,$A68,IncCus,$R$1),2)=0,0,1))</f>
        <v>0</v>
      </c>
      <c r="S68" s="99" t="str">
        <f t="shared" ca="1" si="8"/>
        <v>-</v>
      </c>
    </row>
    <row r="69" spans="12:19" ht="15.95" hidden="1" customHeight="1" x14ac:dyDescent="0.25">
      <c r="L69" s="99" cm="1">
        <f t="array" ref="L69">IF($Q69="N",0,SUMIFS(IncIncl,IncDocDate,"&lt;="&amp;$M$2,IncInvoice,$A69)-SUMIFS(IncPayAmount,IncDocDate,"&lt;="&amp;$M$2,IncPayDate,"&lt;="&amp;$M$2,IncInvoice,$A69))</f>
        <v>0</v>
      </c>
      <c r="M69" s="34" cm="1">
        <f t="array" aca="1" ref="M69" ca="1">$P69-IF(IncTaxCount=2,SUM(N69:O69),SUM(N69:N69))</f>
        <v>0</v>
      </c>
      <c r="N69" s="34">
        <f ca="1">$P69/(1+IF(ISERROR($F69),0,IF(ISNA(MATCH($F69,TaxCode,0)),0,OFFSET(Setup!$D$23,MATCH($F69,TaxCode,0),0,1,1)))+IF(ISERROR($G69),0,IF(ISNA(MATCH($G69,TaxCode,0)),0,OFFSET(Setup!$D$23,MATCH($G69,TaxCode,0),0,1,1))))*IF(ISERROR($F69),0,IF(ISNA(MATCH($F69,TaxCode,0)),0,OFFSET(Setup!$D$23,MATCH($F69,TaxCode,0),0,1,1)))</f>
        <v>0</v>
      </c>
      <c r="O69" s="34">
        <f ca="1">$P69/(1+IF(ISERROR($F69),0,IF(ISNA(MATCH($F69,TaxCode,0)),0,OFFSET(Setup!$D$23,MATCH($F69,TaxCode,0),0,1,1)))+IF(ISERROR($G69),0,IF(ISNA(MATCH($G69,TaxCode,0)),0,OFFSET(Setup!$D$23,MATCH($G69,TaxCode,0),0,1,1))))*IF(ISERROR($G69),0,IF(ISNA(MATCH($G69,TaxCode,0)),0,OFFSET(Setup!$D$23,MATCH($G69,TaxCode,0),0,1,1)))</f>
        <v>0</v>
      </c>
      <c r="P69" s="34">
        <f t="shared" si="6"/>
        <v>0</v>
      </c>
      <c r="Q69" s="86" t="str">
        <f t="shared" si="7"/>
        <v>N</v>
      </c>
      <c r="R69" s="86" cm="1">
        <f t="array" ref="R69">IF($Q69="N",0,IF(ROUND(SUMIFS(IncIncl,IncDocDate,"&lt;="&amp;$R$2,IncInvoice,$A69,IncCus,$R$1)-SUMIFS(IncPayAmount,IncDocDate,"&lt;="&amp;$R$2,IncPayDate,"&lt;="&amp;$R$2,IncInvoice,$A69,IncCus,$R$1),2)=0,0,1))</f>
        <v>0</v>
      </c>
      <c r="S69" s="99" t="str">
        <f t="shared" ca="1" si="8"/>
        <v>-</v>
      </c>
    </row>
    <row r="70" spans="12:19" ht="15.95" hidden="1" customHeight="1" x14ac:dyDescent="0.25">
      <c r="L70" s="99" cm="1">
        <f t="array" ref="L70">IF($Q70="N",0,SUMIFS(IncIncl,IncDocDate,"&lt;="&amp;$M$2,IncInvoice,$A70)-SUMIFS(IncPayAmount,IncDocDate,"&lt;="&amp;$M$2,IncPayDate,"&lt;="&amp;$M$2,IncInvoice,$A70))</f>
        <v>0</v>
      </c>
      <c r="M70" s="34" cm="1">
        <f t="array" aca="1" ref="M70" ca="1">$P70-IF(IncTaxCount=2,SUM(N70:O70),SUM(N70:N70))</f>
        <v>0</v>
      </c>
      <c r="N70" s="34">
        <f ca="1">$P70/(1+IF(ISERROR($F70),0,IF(ISNA(MATCH($F70,TaxCode,0)),0,OFFSET(Setup!$D$23,MATCH($F70,TaxCode,0),0,1,1)))+IF(ISERROR($G70),0,IF(ISNA(MATCH($G70,TaxCode,0)),0,OFFSET(Setup!$D$23,MATCH($G70,TaxCode,0),0,1,1))))*IF(ISERROR($F70),0,IF(ISNA(MATCH($F70,TaxCode,0)),0,OFFSET(Setup!$D$23,MATCH($F70,TaxCode,0),0,1,1)))</f>
        <v>0</v>
      </c>
      <c r="O70" s="34">
        <f ca="1">$P70/(1+IF(ISERROR($F70),0,IF(ISNA(MATCH($F70,TaxCode,0)),0,OFFSET(Setup!$D$23,MATCH($F70,TaxCode,0),0,1,1)))+IF(ISERROR($G70),0,IF(ISNA(MATCH($G70,TaxCode,0)),0,OFFSET(Setup!$D$23,MATCH($G70,TaxCode,0),0,1,1))))*IF(ISERROR($G70),0,IF(ISNA(MATCH($G70,TaxCode,0)),0,OFFSET(Setup!$D$23,MATCH($G70,TaxCode,0),0,1,1)))</f>
        <v>0</v>
      </c>
      <c r="P70" s="34">
        <f t="shared" si="6"/>
        <v>0</v>
      </c>
      <c r="Q70" s="86" t="str">
        <f t="shared" si="7"/>
        <v>N</v>
      </c>
      <c r="R70" s="86" cm="1">
        <f t="array" ref="R70">IF($Q70="N",0,IF(ROUND(SUMIFS(IncIncl,IncDocDate,"&lt;="&amp;$R$2,IncInvoice,$A70,IncCus,$R$1)-SUMIFS(IncPayAmount,IncDocDate,"&lt;="&amp;$R$2,IncPayDate,"&lt;="&amp;$R$2,IncInvoice,$A70,IncCus,$R$1),2)=0,0,1))</f>
        <v>0</v>
      </c>
      <c r="S70" s="99" t="str">
        <f t="shared" ca="1" si="8"/>
        <v>-</v>
      </c>
    </row>
    <row r="71" spans="12:19" ht="15.95" hidden="1" customHeight="1" x14ac:dyDescent="0.25">
      <c r="L71" s="99" cm="1">
        <f t="array" ref="L71">IF($Q71="N",0,SUMIFS(IncIncl,IncDocDate,"&lt;="&amp;$M$2,IncInvoice,$A71)-SUMIFS(IncPayAmount,IncDocDate,"&lt;="&amp;$M$2,IncPayDate,"&lt;="&amp;$M$2,IncInvoice,$A71))</f>
        <v>0</v>
      </c>
      <c r="M71" s="34" cm="1">
        <f t="array" aca="1" ref="M71" ca="1">$P71-IF(IncTaxCount=2,SUM(N71:O71),SUM(N71:N71))</f>
        <v>0</v>
      </c>
      <c r="N71" s="34">
        <f ca="1">$P71/(1+IF(ISERROR($F71),0,IF(ISNA(MATCH($F71,TaxCode,0)),0,OFFSET(Setup!$D$23,MATCH($F71,TaxCode,0),0,1,1)))+IF(ISERROR($G71),0,IF(ISNA(MATCH($G71,TaxCode,0)),0,OFFSET(Setup!$D$23,MATCH($G71,TaxCode,0),0,1,1))))*IF(ISERROR($F71),0,IF(ISNA(MATCH($F71,TaxCode,0)),0,OFFSET(Setup!$D$23,MATCH($F71,TaxCode,0),0,1,1)))</f>
        <v>0</v>
      </c>
      <c r="O71" s="34">
        <f ca="1">$P71/(1+IF(ISERROR($F71),0,IF(ISNA(MATCH($F71,TaxCode,0)),0,OFFSET(Setup!$D$23,MATCH($F71,TaxCode,0),0,1,1)))+IF(ISERROR($G71),0,IF(ISNA(MATCH($G71,TaxCode,0)),0,OFFSET(Setup!$D$23,MATCH($G71,TaxCode,0),0,1,1))))*IF(ISERROR($G71),0,IF(ISNA(MATCH($G71,TaxCode,0)),0,OFFSET(Setup!$D$23,MATCH($G71,TaxCode,0),0,1,1)))</f>
        <v>0</v>
      </c>
      <c r="P71" s="34">
        <f t="shared" si="6"/>
        <v>0</v>
      </c>
      <c r="Q71" s="86" t="str">
        <f t="shared" ref="Q71:Q83" si="9">IF(ISNA(MATCH($A71,IncInvoice,0)),"N",IF(MATCH($A71,IncInvoice,0)=ROW($A71)-4,"Y","N"))</f>
        <v>N</v>
      </c>
      <c r="R71" s="86" cm="1">
        <f t="array" ref="R71">IF($Q71="N",0,IF(ROUND(SUMIFS(IncIncl,IncDocDate,"&lt;="&amp;$R$2,IncInvoice,$A71,IncCus,$R$1)-SUMIFS(IncPayAmount,IncDocDate,"&lt;="&amp;$R$2,IncPayDate,"&lt;="&amp;$R$2,IncInvoice,$A71,IncCus,$R$1),2)=0,0,1))</f>
        <v>0</v>
      </c>
      <c r="S71" s="99" t="str">
        <f t="shared" ref="S71:S83" ca="1" si="10">IF(AND(ISBLANK(K71)=FALSE,K71&lt;B71),"E1",IF(AND(ISBLANK(I71)=FALSE,ISNA(MATCH($I71,AccountNo,0))),"E2",IF(AND(ISBLANK(H71)=FALSE,ISNA(MATCH($H71,BankCode,0))),"E3",IF(AND(ISBLANK(C71)=FALSE,ISNA(MATCH($C71,CustomerCode,0))),"E4","-"))))</f>
        <v>-</v>
      </c>
    </row>
    <row r="72" spans="12:19" ht="15.95" hidden="1" customHeight="1" x14ac:dyDescent="0.25">
      <c r="L72" s="99" cm="1">
        <f t="array" ref="L72">IF($Q72="N",0,SUMIFS(IncIncl,IncDocDate,"&lt;="&amp;$M$2,IncInvoice,$A72)-SUMIFS(IncPayAmount,IncDocDate,"&lt;="&amp;$M$2,IncPayDate,"&lt;="&amp;$M$2,IncInvoice,$A72))</f>
        <v>0</v>
      </c>
      <c r="M72" s="34" cm="1">
        <f t="array" aca="1" ref="M72" ca="1">$P72-IF(IncTaxCount=2,SUM(N72:O72),SUM(N72:N72))</f>
        <v>0</v>
      </c>
      <c r="N72" s="34">
        <f ca="1">$P72/(1+IF(ISERROR($F72),0,IF(ISNA(MATCH($F72,TaxCode,0)),0,OFFSET(Setup!$D$23,MATCH($F72,TaxCode,0),0,1,1)))+IF(ISERROR($G72),0,IF(ISNA(MATCH($G72,TaxCode,0)),0,OFFSET(Setup!$D$23,MATCH($G72,TaxCode,0),0,1,1))))*IF(ISERROR($F72),0,IF(ISNA(MATCH($F72,TaxCode,0)),0,OFFSET(Setup!$D$23,MATCH($F72,TaxCode,0),0,1,1)))</f>
        <v>0</v>
      </c>
      <c r="O72" s="34">
        <f ca="1">$P72/(1+IF(ISERROR($F72),0,IF(ISNA(MATCH($F72,TaxCode,0)),0,OFFSET(Setup!$D$23,MATCH($F72,TaxCode,0),0,1,1)))+IF(ISERROR($G72),0,IF(ISNA(MATCH($G72,TaxCode,0)),0,OFFSET(Setup!$D$23,MATCH($G72,TaxCode,0),0,1,1))))*IF(ISERROR($G72),0,IF(ISNA(MATCH($G72,TaxCode,0)),0,OFFSET(Setup!$D$23,MATCH($G72,TaxCode,0),0,1,1)))</f>
        <v>0</v>
      </c>
      <c r="P72" s="34">
        <f t="shared" si="6"/>
        <v>0</v>
      </c>
      <c r="Q72" s="86" t="str">
        <f t="shared" si="9"/>
        <v>N</v>
      </c>
      <c r="R72" s="86" cm="1">
        <f t="array" ref="R72">IF($Q72="N",0,IF(ROUND(SUMIFS(IncIncl,IncDocDate,"&lt;="&amp;$R$2,IncInvoice,$A72,IncCus,$R$1)-SUMIFS(IncPayAmount,IncDocDate,"&lt;="&amp;$R$2,IncPayDate,"&lt;="&amp;$R$2,IncInvoice,$A72,IncCus,$R$1),2)=0,0,1))</f>
        <v>0</v>
      </c>
      <c r="S72" s="99" t="str">
        <f t="shared" ca="1" si="10"/>
        <v>-</v>
      </c>
    </row>
    <row r="73" spans="12:19" ht="15.95" hidden="1" customHeight="1" x14ac:dyDescent="0.25">
      <c r="L73" s="99" cm="1">
        <f t="array" ref="L73">IF($Q73="N",0,SUMIFS(IncIncl,IncDocDate,"&lt;="&amp;$M$2,IncInvoice,$A73)-SUMIFS(IncPayAmount,IncDocDate,"&lt;="&amp;$M$2,IncPayDate,"&lt;="&amp;$M$2,IncInvoice,$A73))</f>
        <v>0</v>
      </c>
      <c r="M73" s="34" cm="1">
        <f t="array" aca="1" ref="M73" ca="1">$P73-IF(IncTaxCount=2,SUM(N73:O73),SUM(N73:N73))</f>
        <v>0</v>
      </c>
      <c r="N73" s="34">
        <f ca="1">$P73/(1+IF(ISERROR($F73),0,IF(ISNA(MATCH($F73,TaxCode,0)),0,OFFSET(Setup!$D$23,MATCH($F73,TaxCode,0),0,1,1)))+IF(ISERROR($G73),0,IF(ISNA(MATCH($G73,TaxCode,0)),0,OFFSET(Setup!$D$23,MATCH($G73,TaxCode,0),0,1,1))))*IF(ISERROR($F73),0,IF(ISNA(MATCH($F73,TaxCode,0)),0,OFFSET(Setup!$D$23,MATCH($F73,TaxCode,0),0,1,1)))</f>
        <v>0</v>
      </c>
      <c r="O73" s="34">
        <f ca="1">$P73/(1+IF(ISERROR($F73),0,IF(ISNA(MATCH($F73,TaxCode,0)),0,OFFSET(Setup!$D$23,MATCH($F73,TaxCode,0),0,1,1)))+IF(ISERROR($G73),0,IF(ISNA(MATCH($G73,TaxCode,0)),0,OFFSET(Setup!$D$23,MATCH($G73,TaxCode,0),0,1,1))))*IF(ISERROR($G73),0,IF(ISNA(MATCH($G73,TaxCode,0)),0,OFFSET(Setup!$D$23,MATCH($G73,TaxCode,0),0,1,1)))</f>
        <v>0</v>
      </c>
      <c r="P73" s="34">
        <f t="shared" si="6"/>
        <v>0</v>
      </c>
      <c r="Q73" s="86" t="str">
        <f t="shared" si="9"/>
        <v>N</v>
      </c>
      <c r="R73" s="86" cm="1">
        <f t="array" ref="R73">IF($Q73="N",0,IF(ROUND(SUMIFS(IncIncl,IncDocDate,"&lt;="&amp;$R$2,IncInvoice,$A73,IncCus,$R$1)-SUMIFS(IncPayAmount,IncDocDate,"&lt;="&amp;$R$2,IncPayDate,"&lt;="&amp;$R$2,IncInvoice,$A73,IncCus,$R$1),2)=0,0,1))</f>
        <v>0</v>
      </c>
      <c r="S73" s="99" t="str">
        <f t="shared" ca="1" si="10"/>
        <v>-</v>
      </c>
    </row>
    <row r="74" spans="12:19" ht="15.95" hidden="1" customHeight="1" x14ac:dyDescent="0.25">
      <c r="L74" s="99" cm="1">
        <f t="array" ref="L74">IF($Q74="N",0,SUMIFS(IncIncl,IncDocDate,"&lt;="&amp;$M$2,IncInvoice,$A74)-SUMIFS(IncPayAmount,IncDocDate,"&lt;="&amp;$M$2,IncPayDate,"&lt;="&amp;$M$2,IncInvoice,$A74))</f>
        <v>0</v>
      </c>
      <c r="M74" s="34" cm="1">
        <f t="array" aca="1" ref="M74" ca="1">$P74-IF(IncTaxCount=2,SUM(N74:O74),SUM(N74:N74))</f>
        <v>0</v>
      </c>
      <c r="N74" s="34">
        <f ca="1">$P74/(1+IF(ISERROR($F74),0,IF(ISNA(MATCH($F74,TaxCode,0)),0,OFFSET(Setup!$D$23,MATCH($F74,TaxCode,0),0,1,1)))+IF(ISERROR($G74),0,IF(ISNA(MATCH($G74,TaxCode,0)),0,OFFSET(Setup!$D$23,MATCH($G74,TaxCode,0),0,1,1))))*IF(ISERROR($F74),0,IF(ISNA(MATCH($F74,TaxCode,0)),0,OFFSET(Setup!$D$23,MATCH($F74,TaxCode,0),0,1,1)))</f>
        <v>0</v>
      </c>
      <c r="O74" s="34">
        <f ca="1">$P74/(1+IF(ISERROR($F74),0,IF(ISNA(MATCH($F74,TaxCode,0)),0,OFFSET(Setup!$D$23,MATCH($F74,TaxCode,0),0,1,1)))+IF(ISERROR($G74),0,IF(ISNA(MATCH($G74,TaxCode,0)),0,OFFSET(Setup!$D$23,MATCH($G74,TaxCode,0),0,1,1))))*IF(ISERROR($G74),0,IF(ISNA(MATCH($G74,TaxCode,0)),0,OFFSET(Setup!$D$23,MATCH($G74,TaxCode,0),0,1,1)))</f>
        <v>0</v>
      </c>
      <c r="P74" s="34">
        <f t="shared" si="6"/>
        <v>0</v>
      </c>
      <c r="Q74" s="86" t="str">
        <f t="shared" si="9"/>
        <v>N</v>
      </c>
      <c r="R74" s="86" cm="1">
        <f t="array" ref="R74">IF($Q74="N",0,IF(ROUND(SUMIFS(IncIncl,IncDocDate,"&lt;="&amp;$R$2,IncInvoice,$A74,IncCus,$R$1)-SUMIFS(IncPayAmount,IncDocDate,"&lt;="&amp;$R$2,IncPayDate,"&lt;="&amp;$R$2,IncInvoice,$A74,IncCus,$R$1),2)=0,0,1))</f>
        <v>0</v>
      </c>
      <c r="S74" s="99" t="str">
        <f t="shared" ca="1" si="10"/>
        <v>-</v>
      </c>
    </row>
    <row r="75" spans="12:19" ht="15.95" hidden="1" customHeight="1" x14ac:dyDescent="0.25">
      <c r="L75" s="99" cm="1">
        <f t="array" ref="L75">IF($Q75="N",0,SUMIFS(IncIncl,IncDocDate,"&lt;="&amp;$M$2,IncInvoice,$A75)-SUMIFS(IncPayAmount,IncDocDate,"&lt;="&amp;$M$2,IncPayDate,"&lt;="&amp;$M$2,IncInvoice,$A75))</f>
        <v>0</v>
      </c>
      <c r="M75" s="34" cm="1">
        <f t="array" aca="1" ref="M75" ca="1">$P75-IF(IncTaxCount=2,SUM(N75:O75),SUM(N75:N75))</f>
        <v>0</v>
      </c>
      <c r="N75" s="34">
        <f ca="1">$P75/(1+IF(ISERROR($F75),0,IF(ISNA(MATCH($F75,TaxCode,0)),0,OFFSET(Setup!$D$23,MATCH($F75,TaxCode,0),0,1,1)))+IF(ISERROR($G75),0,IF(ISNA(MATCH($G75,TaxCode,0)),0,OFFSET(Setup!$D$23,MATCH($G75,TaxCode,0),0,1,1))))*IF(ISERROR($F75),0,IF(ISNA(MATCH($F75,TaxCode,0)),0,OFFSET(Setup!$D$23,MATCH($F75,TaxCode,0),0,1,1)))</f>
        <v>0</v>
      </c>
      <c r="O75" s="34">
        <f ca="1">$P75/(1+IF(ISERROR($F75),0,IF(ISNA(MATCH($F75,TaxCode,0)),0,OFFSET(Setup!$D$23,MATCH($F75,TaxCode,0),0,1,1)))+IF(ISERROR($G75),0,IF(ISNA(MATCH($G75,TaxCode,0)),0,OFFSET(Setup!$D$23,MATCH($G75,TaxCode,0),0,1,1))))*IF(ISERROR($G75),0,IF(ISNA(MATCH($G75,TaxCode,0)),0,OFFSET(Setup!$D$23,MATCH($G75,TaxCode,0),0,1,1)))</f>
        <v>0</v>
      </c>
      <c r="P75" s="34">
        <f t="shared" si="6"/>
        <v>0</v>
      </c>
      <c r="Q75" s="86" t="str">
        <f t="shared" si="9"/>
        <v>N</v>
      </c>
      <c r="R75" s="86" cm="1">
        <f t="array" ref="R75">IF($Q75="N",0,IF(ROUND(SUMIFS(IncIncl,IncDocDate,"&lt;="&amp;$R$2,IncInvoice,$A75,IncCus,$R$1)-SUMIFS(IncPayAmount,IncDocDate,"&lt;="&amp;$R$2,IncPayDate,"&lt;="&amp;$R$2,IncInvoice,$A75,IncCus,$R$1),2)=0,0,1))</f>
        <v>0</v>
      </c>
      <c r="S75" s="99" t="str">
        <f t="shared" ca="1" si="10"/>
        <v>-</v>
      </c>
    </row>
    <row r="76" spans="12:19" ht="15.95" hidden="1" customHeight="1" x14ac:dyDescent="0.25">
      <c r="L76" s="99" cm="1">
        <f t="array" ref="L76">IF($Q76="N",0,SUMIFS(IncIncl,IncDocDate,"&lt;="&amp;$M$2,IncInvoice,$A76)-SUMIFS(IncPayAmount,IncDocDate,"&lt;="&amp;$M$2,IncPayDate,"&lt;="&amp;$M$2,IncInvoice,$A76))</f>
        <v>0</v>
      </c>
      <c r="M76" s="34" cm="1">
        <f t="array" aca="1" ref="M76" ca="1">$P76-IF(IncTaxCount=2,SUM(N76:O76),SUM(N76:N76))</f>
        <v>0</v>
      </c>
      <c r="N76" s="34">
        <f ca="1">$P76/(1+IF(ISERROR($F76),0,IF(ISNA(MATCH($F76,TaxCode,0)),0,OFFSET(Setup!$D$23,MATCH($F76,TaxCode,0),0,1,1)))+IF(ISERROR($G76),0,IF(ISNA(MATCH($G76,TaxCode,0)),0,OFFSET(Setup!$D$23,MATCH($G76,TaxCode,0),0,1,1))))*IF(ISERROR($F76),0,IF(ISNA(MATCH($F76,TaxCode,0)),0,OFFSET(Setup!$D$23,MATCH($F76,TaxCode,0),0,1,1)))</f>
        <v>0</v>
      </c>
      <c r="O76" s="34">
        <f ca="1">$P76/(1+IF(ISERROR($F76),0,IF(ISNA(MATCH($F76,TaxCode,0)),0,OFFSET(Setup!$D$23,MATCH($F76,TaxCode,0),0,1,1)))+IF(ISERROR($G76),0,IF(ISNA(MATCH($G76,TaxCode,0)),0,OFFSET(Setup!$D$23,MATCH($G76,TaxCode,0),0,1,1))))*IF(ISERROR($G76),0,IF(ISNA(MATCH($G76,TaxCode,0)),0,OFFSET(Setup!$D$23,MATCH($G76,TaxCode,0),0,1,1)))</f>
        <v>0</v>
      </c>
      <c r="P76" s="34">
        <f t="shared" si="6"/>
        <v>0</v>
      </c>
      <c r="Q76" s="86" t="str">
        <f t="shared" si="9"/>
        <v>N</v>
      </c>
      <c r="R76" s="86" cm="1">
        <f t="array" ref="R76">IF($Q76="N",0,IF(ROUND(SUMIFS(IncIncl,IncDocDate,"&lt;="&amp;$R$2,IncInvoice,$A76,IncCus,$R$1)-SUMIFS(IncPayAmount,IncDocDate,"&lt;="&amp;$R$2,IncPayDate,"&lt;="&amp;$R$2,IncInvoice,$A76,IncCus,$R$1),2)=0,0,1))</f>
        <v>0</v>
      </c>
      <c r="S76" s="99" t="str">
        <f t="shared" ca="1" si="10"/>
        <v>-</v>
      </c>
    </row>
    <row r="77" spans="12:19" ht="15.95" hidden="1" customHeight="1" x14ac:dyDescent="0.25">
      <c r="L77" s="99" cm="1">
        <f t="array" ref="L77">IF($Q77="N",0,SUMIFS(IncIncl,IncDocDate,"&lt;="&amp;$M$2,IncInvoice,$A77)-SUMIFS(IncPayAmount,IncDocDate,"&lt;="&amp;$M$2,IncPayDate,"&lt;="&amp;$M$2,IncInvoice,$A77))</f>
        <v>0</v>
      </c>
      <c r="M77" s="34" cm="1">
        <f t="array" aca="1" ref="M77" ca="1">$P77-IF(IncTaxCount=2,SUM(N77:O77),SUM(N77:N77))</f>
        <v>0</v>
      </c>
      <c r="N77" s="34">
        <f ca="1">$P77/(1+IF(ISERROR($F77),0,IF(ISNA(MATCH($F77,TaxCode,0)),0,OFFSET(Setup!$D$23,MATCH($F77,TaxCode,0),0,1,1)))+IF(ISERROR($G77),0,IF(ISNA(MATCH($G77,TaxCode,0)),0,OFFSET(Setup!$D$23,MATCH($G77,TaxCode,0),0,1,1))))*IF(ISERROR($F77),0,IF(ISNA(MATCH($F77,TaxCode,0)),0,OFFSET(Setup!$D$23,MATCH($F77,TaxCode,0),0,1,1)))</f>
        <v>0</v>
      </c>
      <c r="O77" s="34">
        <f ca="1">$P77/(1+IF(ISERROR($F77),0,IF(ISNA(MATCH($F77,TaxCode,0)),0,OFFSET(Setup!$D$23,MATCH($F77,TaxCode,0),0,1,1)))+IF(ISERROR($G77),0,IF(ISNA(MATCH($G77,TaxCode,0)),0,OFFSET(Setup!$D$23,MATCH($G77,TaxCode,0),0,1,1))))*IF(ISERROR($G77),0,IF(ISNA(MATCH($G77,TaxCode,0)),0,OFFSET(Setup!$D$23,MATCH($G77,TaxCode,0),0,1,1)))</f>
        <v>0</v>
      </c>
      <c r="P77" s="34">
        <f t="shared" si="6"/>
        <v>0</v>
      </c>
      <c r="Q77" s="86" t="str">
        <f t="shared" si="9"/>
        <v>N</v>
      </c>
      <c r="R77" s="86" cm="1">
        <f t="array" ref="R77">IF($Q77="N",0,IF(ROUND(SUMIFS(IncIncl,IncDocDate,"&lt;="&amp;$R$2,IncInvoice,$A77,IncCus,$R$1)-SUMIFS(IncPayAmount,IncDocDate,"&lt;="&amp;$R$2,IncPayDate,"&lt;="&amp;$R$2,IncInvoice,$A77,IncCus,$R$1),2)=0,0,1))</f>
        <v>0</v>
      </c>
      <c r="S77" s="99" t="str">
        <f t="shared" ca="1" si="10"/>
        <v>-</v>
      </c>
    </row>
    <row r="78" spans="12:19" ht="15.95" hidden="1" customHeight="1" x14ac:dyDescent="0.25">
      <c r="L78" s="99" cm="1">
        <f t="array" ref="L78">IF($Q78="N",0,SUMIFS(IncIncl,IncDocDate,"&lt;="&amp;$M$2,IncInvoice,$A78)-SUMIFS(IncPayAmount,IncDocDate,"&lt;="&amp;$M$2,IncPayDate,"&lt;="&amp;$M$2,IncInvoice,$A78))</f>
        <v>0</v>
      </c>
      <c r="M78" s="34" cm="1">
        <f t="array" aca="1" ref="M78" ca="1">$P78-IF(IncTaxCount=2,SUM(N78:O78),SUM(N78:N78))</f>
        <v>0</v>
      </c>
      <c r="N78" s="34">
        <f ca="1">$P78/(1+IF(ISERROR($F78),0,IF(ISNA(MATCH($F78,TaxCode,0)),0,OFFSET(Setup!$D$23,MATCH($F78,TaxCode,0),0,1,1)))+IF(ISERROR($G78),0,IF(ISNA(MATCH($G78,TaxCode,0)),0,OFFSET(Setup!$D$23,MATCH($G78,TaxCode,0),0,1,1))))*IF(ISERROR($F78),0,IF(ISNA(MATCH($F78,TaxCode,0)),0,OFFSET(Setup!$D$23,MATCH($F78,TaxCode,0),0,1,1)))</f>
        <v>0</v>
      </c>
      <c r="O78" s="34">
        <f ca="1">$P78/(1+IF(ISERROR($F78),0,IF(ISNA(MATCH($F78,TaxCode,0)),0,OFFSET(Setup!$D$23,MATCH($F78,TaxCode,0),0,1,1)))+IF(ISERROR($G78),0,IF(ISNA(MATCH($G78,TaxCode,0)),0,OFFSET(Setup!$D$23,MATCH($G78,TaxCode,0),0,1,1))))*IF(ISERROR($G78),0,IF(ISNA(MATCH($G78,TaxCode,0)),0,OFFSET(Setup!$D$23,MATCH($G78,TaxCode,0),0,1,1)))</f>
        <v>0</v>
      </c>
      <c r="P78" s="34">
        <f t="shared" si="6"/>
        <v>0</v>
      </c>
      <c r="Q78" s="86" t="str">
        <f t="shared" si="9"/>
        <v>N</v>
      </c>
      <c r="R78" s="86" cm="1">
        <f t="array" ref="R78">IF($Q78="N",0,IF(ROUND(SUMIFS(IncIncl,IncDocDate,"&lt;="&amp;$R$2,IncInvoice,$A78,IncCus,$R$1)-SUMIFS(IncPayAmount,IncDocDate,"&lt;="&amp;$R$2,IncPayDate,"&lt;="&amp;$R$2,IncInvoice,$A78,IncCus,$R$1),2)=0,0,1))</f>
        <v>0</v>
      </c>
      <c r="S78" s="99" t="str">
        <f t="shared" ca="1" si="10"/>
        <v>-</v>
      </c>
    </row>
    <row r="79" spans="12:19" ht="15.95" hidden="1" customHeight="1" x14ac:dyDescent="0.25">
      <c r="L79" s="99" cm="1">
        <f t="array" ref="L79">IF($Q79="N",0,SUMIFS(IncIncl,IncDocDate,"&lt;="&amp;$M$2,IncInvoice,$A79)-SUMIFS(IncPayAmount,IncDocDate,"&lt;="&amp;$M$2,IncPayDate,"&lt;="&amp;$M$2,IncInvoice,$A79))</f>
        <v>0</v>
      </c>
      <c r="M79" s="34" cm="1">
        <f t="array" aca="1" ref="M79" ca="1">$P79-IF(IncTaxCount=2,SUM(N79:O79),SUM(N79:N79))</f>
        <v>0</v>
      </c>
      <c r="N79" s="34">
        <f ca="1">$P79/(1+IF(ISERROR($F79),0,IF(ISNA(MATCH($F79,TaxCode,0)),0,OFFSET(Setup!$D$23,MATCH($F79,TaxCode,0),0,1,1)))+IF(ISERROR($G79),0,IF(ISNA(MATCH($G79,TaxCode,0)),0,OFFSET(Setup!$D$23,MATCH($G79,TaxCode,0),0,1,1))))*IF(ISERROR($F79),0,IF(ISNA(MATCH($F79,TaxCode,0)),0,OFFSET(Setup!$D$23,MATCH($F79,TaxCode,0),0,1,1)))</f>
        <v>0</v>
      </c>
      <c r="O79" s="34">
        <f ca="1">$P79/(1+IF(ISERROR($F79),0,IF(ISNA(MATCH($F79,TaxCode,0)),0,OFFSET(Setup!$D$23,MATCH($F79,TaxCode,0),0,1,1)))+IF(ISERROR($G79),0,IF(ISNA(MATCH($G79,TaxCode,0)),0,OFFSET(Setup!$D$23,MATCH($G79,TaxCode,0),0,1,1))))*IF(ISERROR($G79),0,IF(ISNA(MATCH($G79,TaxCode,0)),0,OFFSET(Setup!$D$23,MATCH($G79,TaxCode,0),0,1,1)))</f>
        <v>0</v>
      </c>
      <c r="P79" s="34">
        <f t="shared" si="6"/>
        <v>0</v>
      </c>
      <c r="Q79" s="86" t="str">
        <f t="shared" si="9"/>
        <v>N</v>
      </c>
      <c r="R79" s="86" cm="1">
        <f t="array" ref="R79">IF($Q79="N",0,IF(ROUND(SUMIFS(IncIncl,IncDocDate,"&lt;="&amp;$R$2,IncInvoice,$A79,IncCus,$R$1)-SUMIFS(IncPayAmount,IncDocDate,"&lt;="&amp;$R$2,IncPayDate,"&lt;="&amp;$R$2,IncInvoice,$A79,IncCus,$R$1),2)=0,0,1))</f>
        <v>0</v>
      </c>
      <c r="S79" s="99" t="str">
        <f t="shared" ca="1" si="10"/>
        <v>-</v>
      </c>
    </row>
    <row r="80" spans="12:19" ht="15.95" hidden="1" customHeight="1" x14ac:dyDescent="0.25">
      <c r="L80" s="99" cm="1">
        <f t="array" ref="L80">IF($Q80="N",0,SUMIFS(IncIncl,IncDocDate,"&lt;="&amp;$M$2,IncInvoice,$A80)-SUMIFS(IncPayAmount,IncDocDate,"&lt;="&amp;$M$2,IncPayDate,"&lt;="&amp;$M$2,IncInvoice,$A80))</f>
        <v>0</v>
      </c>
      <c r="M80" s="34" cm="1">
        <f t="array" aca="1" ref="M80" ca="1">$P80-IF(IncTaxCount=2,SUM(N80:O80),SUM(N80:N80))</f>
        <v>0</v>
      </c>
      <c r="N80" s="34">
        <f ca="1">$P80/(1+IF(ISERROR($F80),0,IF(ISNA(MATCH($F80,TaxCode,0)),0,OFFSET(Setup!$D$23,MATCH($F80,TaxCode,0),0,1,1)))+IF(ISERROR($G80),0,IF(ISNA(MATCH($G80,TaxCode,0)),0,OFFSET(Setup!$D$23,MATCH($G80,TaxCode,0),0,1,1))))*IF(ISERROR($F80),0,IF(ISNA(MATCH($F80,TaxCode,0)),0,OFFSET(Setup!$D$23,MATCH($F80,TaxCode,0),0,1,1)))</f>
        <v>0</v>
      </c>
      <c r="O80" s="34">
        <f ca="1">$P80/(1+IF(ISERROR($F80),0,IF(ISNA(MATCH($F80,TaxCode,0)),0,OFFSET(Setup!$D$23,MATCH($F80,TaxCode,0),0,1,1)))+IF(ISERROR($G80),0,IF(ISNA(MATCH($G80,TaxCode,0)),0,OFFSET(Setup!$D$23,MATCH($G80,TaxCode,0),0,1,1))))*IF(ISERROR($G80),0,IF(ISNA(MATCH($G80,TaxCode,0)),0,OFFSET(Setup!$D$23,MATCH($G80,TaxCode,0),0,1,1)))</f>
        <v>0</v>
      </c>
      <c r="P80" s="34">
        <f t="shared" si="6"/>
        <v>0</v>
      </c>
      <c r="Q80" s="86" t="str">
        <f t="shared" si="9"/>
        <v>N</v>
      </c>
      <c r="R80" s="86" cm="1">
        <f t="array" ref="R80">IF($Q80="N",0,IF(ROUND(SUMIFS(IncIncl,IncDocDate,"&lt;="&amp;$R$2,IncInvoice,$A80,IncCus,$R$1)-SUMIFS(IncPayAmount,IncDocDate,"&lt;="&amp;$R$2,IncPayDate,"&lt;="&amp;$R$2,IncInvoice,$A80,IncCus,$R$1),2)=0,0,1))</f>
        <v>0</v>
      </c>
      <c r="S80" s="99" t="str">
        <f t="shared" ca="1" si="10"/>
        <v>-</v>
      </c>
    </row>
    <row r="81" spans="1:19" ht="15.95" hidden="1" customHeight="1" x14ac:dyDescent="0.25">
      <c r="L81" s="99" cm="1">
        <f t="array" ref="L81">IF($Q81="N",0,SUMIFS(IncIncl,IncDocDate,"&lt;="&amp;$M$2,IncInvoice,$A81)-SUMIFS(IncPayAmount,IncDocDate,"&lt;="&amp;$M$2,IncPayDate,"&lt;="&amp;$M$2,IncInvoice,$A81))</f>
        <v>0</v>
      </c>
      <c r="M81" s="34" cm="1">
        <f t="array" aca="1" ref="M81" ca="1">$P81-IF(IncTaxCount=2,SUM(N81:O81),SUM(N81:N81))</f>
        <v>0</v>
      </c>
      <c r="N81" s="34">
        <f ca="1">$P81/(1+IF(ISERROR($F81),0,IF(ISNA(MATCH($F81,TaxCode,0)),0,OFFSET(Setup!$D$23,MATCH($F81,TaxCode,0),0,1,1)))+IF(ISERROR($G81),0,IF(ISNA(MATCH($G81,TaxCode,0)),0,OFFSET(Setup!$D$23,MATCH($G81,TaxCode,0),0,1,1))))*IF(ISERROR($F81),0,IF(ISNA(MATCH($F81,TaxCode,0)),0,OFFSET(Setup!$D$23,MATCH($F81,TaxCode,0),0,1,1)))</f>
        <v>0</v>
      </c>
      <c r="O81" s="34">
        <f ca="1">$P81/(1+IF(ISERROR($F81),0,IF(ISNA(MATCH($F81,TaxCode,0)),0,OFFSET(Setup!$D$23,MATCH($F81,TaxCode,0),0,1,1)))+IF(ISERROR($G81),0,IF(ISNA(MATCH($G81,TaxCode,0)),0,OFFSET(Setup!$D$23,MATCH($G81,TaxCode,0),0,1,1))))*IF(ISERROR($G81),0,IF(ISNA(MATCH($G81,TaxCode,0)),0,OFFSET(Setup!$D$23,MATCH($G81,TaxCode,0),0,1,1)))</f>
        <v>0</v>
      </c>
      <c r="P81" s="34">
        <f t="shared" si="6"/>
        <v>0</v>
      </c>
      <c r="Q81" s="86" t="str">
        <f t="shared" si="9"/>
        <v>N</v>
      </c>
      <c r="R81" s="86" cm="1">
        <f t="array" ref="R81">IF($Q81="N",0,IF(ROUND(SUMIFS(IncIncl,IncDocDate,"&lt;="&amp;$R$2,IncInvoice,$A81,IncCus,$R$1)-SUMIFS(IncPayAmount,IncDocDate,"&lt;="&amp;$R$2,IncPayDate,"&lt;="&amp;$R$2,IncInvoice,$A81,IncCus,$R$1),2)=0,0,1))</f>
        <v>0</v>
      </c>
      <c r="S81" s="99" t="str">
        <f t="shared" ca="1" si="10"/>
        <v>-</v>
      </c>
    </row>
    <row r="82" spans="1:19" ht="15.95" hidden="1" customHeight="1" x14ac:dyDescent="0.25">
      <c r="L82" s="99" cm="1">
        <f t="array" ref="L82">IF($Q82="N",0,SUMIFS(IncIncl,IncDocDate,"&lt;="&amp;$M$2,IncInvoice,$A82)-SUMIFS(IncPayAmount,IncDocDate,"&lt;="&amp;$M$2,IncPayDate,"&lt;="&amp;$M$2,IncInvoice,$A82))</f>
        <v>0</v>
      </c>
      <c r="M82" s="34" cm="1">
        <f t="array" aca="1" ref="M82" ca="1">$P82-IF(IncTaxCount=2,SUM(N82:O82),SUM(N82:N82))</f>
        <v>0</v>
      </c>
      <c r="N82" s="34">
        <f ca="1">$P82/(1+IF(ISERROR($F82),0,IF(ISNA(MATCH($F82,TaxCode,0)),0,OFFSET(Setup!$D$23,MATCH($F82,TaxCode,0),0,1,1)))+IF(ISERROR($G82),0,IF(ISNA(MATCH($G82,TaxCode,0)),0,OFFSET(Setup!$D$23,MATCH($G82,TaxCode,0),0,1,1))))*IF(ISERROR($F82),0,IF(ISNA(MATCH($F82,TaxCode,0)),0,OFFSET(Setup!$D$23,MATCH($F82,TaxCode,0),0,1,1)))</f>
        <v>0</v>
      </c>
      <c r="O82" s="34">
        <f ca="1">$P82/(1+IF(ISERROR($F82),0,IF(ISNA(MATCH($F82,TaxCode,0)),0,OFFSET(Setup!$D$23,MATCH($F82,TaxCode,0),0,1,1)))+IF(ISERROR($G82),0,IF(ISNA(MATCH($G82,TaxCode,0)),0,OFFSET(Setup!$D$23,MATCH($G82,TaxCode,0),0,1,1))))*IF(ISERROR($G82),0,IF(ISNA(MATCH($G82,TaxCode,0)),0,OFFSET(Setup!$D$23,MATCH($G82,TaxCode,0),0,1,1)))</f>
        <v>0</v>
      </c>
      <c r="P82" s="34">
        <f t="shared" si="6"/>
        <v>0</v>
      </c>
      <c r="Q82" s="86" t="str">
        <f t="shared" si="9"/>
        <v>N</v>
      </c>
      <c r="R82" s="86" cm="1">
        <f t="array" ref="R82">IF($Q82="N",0,IF(ROUND(SUMIFS(IncIncl,IncDocDate,"&lt;="&amp;$R$2,IncInvoice,$A82,IncCus,$R$1)-SUMIFS(IncPayAmount,IncDocDate,"&lt;="&amp;$R$2,IncPayDate,"&lt;="&amp;$R$2,IncInvoice,$A82,IncCus,$R$1),2)=0,0,1))</f>
        <v>0</v>
      </c>
      <c r="S82" s="99" t="str">
        <f t="shared" ca="1" si="10"/>
        <v>-</v>
      </c>
    </row>
    <row r="83" spans="1:19" ht="15.95" hidden="1" customHeight="1" x14ac:dyDescent="0.25">
      <c r="L83" s="99" cm="1">
        <f t="array" ref="L83">IF($Q83="N",0,SUMIFS(IncIncl,IncDocDate,"&lt;="&amp;$M$2,IncInvoice,$A83)-SUMIFS(IncPayAmount,IncDocDate,"&lt;="&amp;$M$2,IncPayDate,"&lt;="&amp;$M$2,IncInvoice,$A83))</f>
        <v>0</v>
      </c>
      <c r="M83" s="34" cm="1">
        <f t="array" aca="1" ref="M83" ca="1">$P83-IF(IncTaxCount=2,SUM(N83:O83),SUM(N83:N83))</f>
        <v>0</v>
      </c>
      <c r="N83" s="34">
        <f ca="1">$P83/(1+IF(ISERROR($F83),0,IF(ISNA(MATCH($F83,TaxCode,0)),0,OFFSET(Setup!$D$23,MATCH($F83,TaxCode,0),0,1,1)))+IF(ISERROR($G83),0,IF(ISNA(MATCH($G83,TaxCode,0)),0,OFFSET(Setup!$D$23,MATCH($G83,TaxCode,0),0,1,1))))*IF(ISERROR($F83),0,IF(ISNA(MATCH($F83,TaxCode,0)),0,OFFSET(Setup!$D$23,MATCH($F83,TaxCode,0),0,1,1)))</f>
        <v>0</v>
      </c>
      <c r="O83" s="34">
        <f ca="1">$P83/(1+IF(ISERROR($F83),0,IF(ISNA(MATCH($F83,TaxCode,0)),0,OFFSET(Setup!$D$23,MATCH($F83,TaxCode,0),0,1,1)))+IF(ISERROR($G83),0,IF(ISNA(MATCH($G83,TaxCode,0)),0,OFFSET(Setup!$D$23,MATCH($G83,TaxCode,0),0,1,1))))*IF(ISERROR($G83),0,IF(ISNA(MATCH($G83,TaxCode,0)),0,OFFSET(Setup!$D$23,MATCH($G83,TaxCode,0),0,1,1)))</f>
        <v>0</v>
      </c>
      <c r="P83" s="34">
        <f t="shared" si="6"/>
        <v>0</v>
      </c>
      <c r="Q83" s="86" t="str">
        <f t="shared" si="9"/>
        <v>N</v>
      </c>
      <c r="R83" s="86" cm="1">
        <f t="array" ref="R83">IF($Q83="N",0,IF(ROUND(SUMIFS(IncIncl,IncDocDate,"&lt;="&amp;$R$2,IncInvoice,$A83,IncCus,$R$1)-SUMIFS(IncPayAmount,IncDocDate,"&lt;="&amp;$R$2,IncPayDate,"&lt;="&amp;$R$2,IncInvoice,$A83,IncCus,$R$1),2)=0,0,1))</f>
        <v>0</v>
      </c>
      <c r="S83" s="99" t="str">
        <f t="shared" ca="1" si="10"/>
        <v>-</v>
      </c>
    </row>
    <row r="84" spans="1:19" ht="15.95" customHeight="1" x14ac:dyDescent="0.25">
      <c r="A84" s="348"/>
      <c r="B84" s="339">
        <v>45336</v>
      </c>
      <c r="C84" s="325" t="s">
        <v>811</v>
      </c>
      <c r="D84" s="356" t="s">
        <v>813</v>
      </c>
      <c r="E84" s="327">
        <v>1770000</v>
      </c>
      <c r="F84" s="328" t="s">
        <v>654</v>
      </c>
      <c r="G84" s="328"/>
      <c r="H84" s="328" t="s">
        <v>743</v>
      </c>
      <c r="I84" s="329" t="s">
        <v>210</v>
      </c>
      <c r="J84" s="328">
        <v>1695000</v>
      </c>
      <c r="K84" s="339">
        <v>45337</v>
      </c>
      <c r="L84" s="349">
        <f t="array" ref="L84">IF($Q84="N",0,SUMIFS(IncIncl,IncDocDate,"&lt;="&amp;$M$2,IncInvoice,$A84)-SUMIFS(IncPayAmount,IncDocDate,"&lt;="&amp;$M$2,IncPayDate,"&lt;="&amp;$M$2,IncInvoice,$A84))</f>
        <v>0</v>
      </c>
      <c r="M84" s="350">
        <f t="array" aca="1" ref="M84" ca="1">$P84-IF(IncTaxCount=2,SUM(N84:O84),SUM(N84:N84))</f>
        <v>1500000</v>
      </c>
      <c r="N84" s="350">
        <f ca="1">$P84/(1+IF(ISERROR($F84),0,IF(ISNA(MATCH($F84,TaxCode,0)),0,OFFSET(Setup!$D$23,MATCH($F84,TaxCode,0),0,1,1)))+IF(ISERROR($G84),0,IF(ISNA(MATCH($G84,TaxCode,0)),0,OFFSET(Setup!$D$23,MATCH($G84,TaxCode,0),0,1,1))))*IF(ISERROR($F84),0,IF(ISNA(MATCH($F84,TaxCode,0)),0,OFFSET(Setup!$D$23,MATCH($F84,TaxCode,0),0,1,1)))</f>
        <v>270000</v>
      </c>
      <c r="O84" s="350">
        <f ca="1">$P84/(1+IF(ISERROR($F84),0,IF(ISNA(MATCH($F84,TaxCode,0)),0,OFFSET(Setup!$D$23,MATCH($F84,TaxCode,0),0,1,1)))+IF(ISERROR($G84),0,IF(ISNA(MATCH($G84,TaxCode,0)),0,OFFSET(Setup!$D$23,MATCH($G84,TaxCode,0),0,1,1))))*IF(ISERROR($G84),0,IF(ISNA(MATCH($G84,TaxCode,0)),0,OFFSET(Setup!$D$23,MATCH($G84,TaxCode,0),0,1,1)))</f>
        <v>0</v>
      </c>
      <c r="P84" s="350">
        <f>E84</f>
        <v>1770000</v>
      </c>
      <c r="Q84" s="340" t="str">
        <f>IF(ISNA(MATCH($A84,IncInvoice,0)),"N",IF(MATCH($A84,IncInvoice,0)=ROW($A84)-4,"Y","N"))</f>
        <v>N</v>
      </c>
      <c r="R84" s="340">
        <f t="array" ref="R84">IF($Q84="N",0,IF(ROUND(SUMIFS(IncIncl,IncDocDate,"&lt;="&amp;$R$2,IncInvoice,$A84,IncCus,$R$1)-SUMIFS(IncPayAmount,IncDocDate,"&lt;="&amp;$R$2,IncPayDate,"&lt;="&amp;$R$2,IncInvoice,$A84,IncCus,$R$1),2)=0,0,1))</f>
        <v>0</v>
      </c>
      <c r="S84" s="349" t="str">
        <f ca="1">IF(AND(ISBLANK(K84)=FALSE,K84&lt;B84),"E1",IF(AND(ISBLANK(I84)=FALSE,ISNA(MATCH($I84,AccountNo,0))),"E2",IF(AND(ISBLANK(H84)=FALSE,ISNA(MATCH($H84,BankCode,0))),"E3",IF(AND(ISBLANK(C84)=FALSE,ISNA(MATCH($C84,CustomerCode,0))),"E4","-"))))</f>
        <v>-</v>
      </c>
    </row>
  </sheetData>
  <sheetProtection autoFilter="0"/>
  <phoneticPr fontId="2" type="noConversion"/>
  <conditionalFormatting sqref="C4">
    <cfRule type="expression" dxfId="50" priority="1">
      <formula>COUNTIF(IncError,"E4")&gt;0=TRUE</formula>
    </cfRule>
  </conditionalFormatting>
  <conditionalFormatting sqref="H4">
    <cfRule type="expression" dxfId="49" priority="2">
      <formula>COUNTIF(IncError,"E3")&gt;0=TRUE</formula>
    </cfRule>
  </conditionalFormatting>
  <conditionalFormatting sqref="I4">
    <cfRule type="expression" dxfId="48" priority="4">
      <formula>COUNTIF(IncError,"E2")&gt;0=TRUE</formula>
    </cfRule>
  </conditionalFormatting>
  <conditionalFormatting sqref="K4">
    <cfRule type="expression" dxfId="47" priority="3">
      <formula>COUNTIF(IncError,"E1")&gt;0=TRUE</formula>
    </cfRule>
  </conditionalFormatting>
  <dataValidations count="5">
    <dataValidation type="list" allowBlank="1" showInputMessage="1" showErrorMessage="1" errorTitle="Invalid Data" error="Select a valid item from the list box." sqref="F5:G84" xr:uid="{00000000-0002-0000-0700-000000000000}">
      <formula1>TaxCode</formula1>
    </dataValidation>
    <dataValidation type="date" operator="greaterThan" allowBlank="1" showInputMessage="1" showErrorMessage="1" errorTitle="Invalid Date" error="Enter a valid date in accordance with the regional date settings that are specified in the System Control Panel." sqref="B5:B84 K5:K84" xr:uid="{00000000-0002-0000-0700-000001000000}">
      <formula1>36526</formula1>
    </dataValidation>
    <dataValidation type="list" allowBlank="1" showInputMessage="1" showErrorMessage="1" errorTitle="Invalid Account" error="All accounts must be created on the Accounts sheet before being available for selection. The account number that you entered does not exist. Select a valid account number from the list box." sqref="I5:I84" xr:uid="{00000000-0002-0000-0700-000002000000}">
      <formula1>AccountSelect</formula1>
    </dataValidation>
    <dataValidation type="list" allowBlank="1" showInputMessage="1" showErrorMessage="1" errorTitle="Invalid Data" error="Select a valid item from the list box." sqref="H5:H84" xr:uid="{00000000-0002-0000-0700-000003000000}">
      <formula1>BankCode</formula1>
    </dataValidation>
    <dataValidation type="list" allowBlank="1" showInputMessage="1" showErrorMessage="1" errorTitle="Invalid Data" error="Select a valid item from the list box." sqref="C5:C84" xr:uid="{00000000-0002-0000-0700-000004000000}">
      <formula1>CustomerCode</formula1>
    </dataValidation>
  </dataValidations>
  <pageMargins left="0.59055118110236227" right="0.59055118110236227" top="0.59055118110236227" bottom="0.59055118110236227" header="0.39370078740157483" footer="0.39370078740157483"/>
  <pageSetup paperSize="9" scale="61" fitToHeight="0" orientation="landscape" r:id="rId1"/>
  <headerFooter alignWithMargins="0">
    <oddFooter>Page &amp;P of &amp;N</oddFoot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I54"/>
  <sheetViews>
    <sheetView topLeftCell="A27" zoomScale="95" zoomScaleNormal="95" workbookViewId="0">
      <selection activeCell="O43" sqref="O43"/>
    </sheetView>
  </sheetViews>
  <sheetFormatPr defaultColWidth="9.140625" defaultRowHeight="15.95" customHeight="1" x14ac:dyDescent="0.25"/>
  <cols>
    <col min="1" max="1" width="1.5703125" style="100" customWidth="1"/>
    <col min="2" max="2" width="2.5703125" style="100" customWidth="1"/>
    <col min="3" max="3" width="15.5703125" style="100" customWidth="1"/>
    <col min="4" max="4" width="23.5703125" style="100" customWidth="1"/>
    <col min="5" max="5" width="15.5703125" style="100" customWidth="1"/>
    <col min="6" max="6" width="15.5703125" style="142" customWidth="1"/>
    <col min="7" max="7" width="16.85546875" style="142" bestFit="1" customWidth="1"/>
    <col min="8" max="8" width="15.5703125" style="142" customWidth="1"/>
    <col min="9" max="9" width="2.5703125" style="100" customWidth="1"/>
    <col min="10" max="20" width="15.5703125" style="100" customWidth="1"/>
    <col min="21" max="16384" width="9.140625" style="100"/>
  </cols>
  <sheetData>
    <row r="1" spans="2:9" ht="11.1" customHeight="1" x14ac:dyDescent="0.25">
      <c r="F1" s="100"/>
      <c r="G1" s="100"/>
      <c r="H1" s="100"/>
    </row>
    <row r="2" spans="2:9" ht="15.95" customHeight="1" x14ac:dyDescent="0.25">
      <c r="B2" s="64"/>
      <c r="C2" s="64"/>
      <c r="D2" s="64"/>
      <c r="E2" s="64"/>
      <c r="F2" s="64"/>
      <c r="G2" s="64"/>
      <c r="H2" s="64"/>
      <c r="I2" s="64"/>
    </row>
    <row r="3" spans="2:9" ht="15.95" customHeight="1" x14ac:dyDescent="0.25">
      <c r="B3" s="64"/>
      <c r="C3" s="64"/>
      <c r="D3" s="64"/>
      <c r="E3" s="64"/>
      <c r="F3" s="64"/>
      <c r="G3" s="64"/>
      <c r="H3" s="64"/>
      <c r="I3" s="64"/>
    </row>
    <row r="4" spans="2:9" ht="15.95" customHeight="1" x14ac:dyDescent="0.25">
      <c r="B4" s="64"/>
      <c r="C4" s="64"/>
      <c r="D4" s="64"/>
      <c r="E4" s="64"/>
      <c r="F4" s="64"/>
      <c r="G4" s="64"/>
      <c r="H4" s="64"/>
      <c r="I4" s="64"/>
    </row>
    <row r="5" spans="2:9" ht="15.95" customHeight="1" x14ac:dyDescent="0.25">
      <c r="B5" s="64"/>
      <c r="C5" s="64"/>
      <c r="D5" s="64"/>
      <c r="E5" s="64"/>
      <c r="F5" s="64"/>
      <c r="G5" s="64"/>
      <c r="H5" s="64"/>
      <c r="I5" s="64"/>
    </row>
    <row r="6" spans="2:9" ht="15.95" customHeight="1" x14ac:dyDescent="0.25">
      <c r="B6" s="64"/>
      <c r="C6" s="64"/>
      <c r="D6" s="64"/>
      <c r="E6" s="64"/>
      <c r="F6" s="64"/>
      <c r="G6" s="64"/>
      <c r="H6" s="64"/>
      <c r="I6" s="64"/>
    </row>
    <row r="7" spans="2:9" ht="15.95" customHeight="1" x14ac:dyDescent="0.25">
      <c r="B7" s="64"/>
      <c r="C7" s="64"/>
      <c r="D7" s="64"/>
      <c r="E7" s="64"/>
      <c r="F7" s="64"/>
      <c r="G7" s="64"/>
      <c r="H7" s="64"/>
      <c r="I7" s="64"/>
    </row>
    <row r="8" spans="2:9" ht="15.95" customHeight="1" x14ac:dyDescent="0.25">
      <c r="B8" s="64"/>
      <c r="C8" s="101" t="str">
        <f>IF(ISBLANK(Setup!C5),"",Setup!C5)</f>
        <v>Nasia Consult Co. Limited</v>
      </c>
      <c r="D8" s="64"/>
      <c r="E8" s="64"/>
      <c r="F8" s="86"/>
      <c r="G8" s="86"/>
      <c r="H8" s="102"/>
      <c r="I8" s="64"/>
    </row>
    <row r="9" spans="2:9" ht="15.95" customHeight="1" x14ac:dyDescent="0.25">
      <c r="B9" s="64"/>
      <c r="C9" s="103" t="str">
        <f>IF(ISBLANK(Setup!C6),"",Setup!C6)</f>
        <v>Victoria Noble Centre, 4th Floor, P O Box 34595, Dar es Salaam</v>
      </c>
      <c r="D9" s="64"/>
      <c r="E9" s="64"/>
      <c r="F9" s="104"/>
      <c r="G9" s="104"/>
      <c r="H9" s="64"/>
      <c r="I9" s="64"/>
    </row>
    <row r="10" spans="2:9" ht="15.95" customHeight="1" x14ac:dyDescent="0.25">
      <c r="B10" s="64"/>
      <c r="C10" s="103" t="str">
        <f>IF(ISBLANK(Setup!C7),"",Setup!A7&amp;": "&amp;Setup!C7)&amp;IF(ISBLANK(Setup!C8),""," | "&amp;Setup!A8&amp;": "&amp;Setup!C8)</f>
        <v>Contact Number: +255 624 059 601 | Fax Number: +255 713 025 625</v>
      </c>
      <c r="D10" s="64"/>
      <c r="E10" s="101"/>
      <c r="F10" s="86"/>
      <c r="G10" s="86"/>
      <c r="H10" s="86"/>
      <c r="I10" s="64"/>
    </row>
    <row r="11" spans="2:9" ht="15.95" customHeight="1" x14ac:dyDescent="0.25">
      <c r="B11" s="64"/>
      <c r="C11" s="103" t="str">
        <f>IF(ISBLANK(Setup!C9),"",Setup!A9&amp;": "&amp;Setup!C9)&amp;IF(ISBLANK(Setup!C10),""," | "&amp;Setup!A10&amp;": "&amp;Setup!C10)</f>
        <v>Website: www.nasia.co.tz | E-mail: nasia@nasia.co.tz</v>
      </c>
      <c r="D11" s="64"/>
      <c r="E11" s="103"/>
      <c r="F11" s="104"/>
      <c r="G11" s="104"/>
      <c r="H11" s="104"/>
      <c r="I11" s="64"/>
    </row>
    <row r="12" spans="2:9" ht="15.95" customHeight="1" x14ac:dyDescent="0.25">
      <c r="B12" s="64"/>
      <c r="C12" s="103" t="str">
        <f>IF(ISBLANK(Setup!C11),"",Setup!A11&amp;": "&amp;Setup!C11)&amp;IF(ISBLANK(Setup!C12),""," | "&amp;Setup!A12&amp;": "&amp;Setup!C12)</f>
        <v>Sales Tax Number: 9999 999 9999 | Registration Number: 2011 000000 00</v>
      </c>
      <c r="D12" s="64"/>
      <c r="E12" s="103"/>
      <c r="F12" s="104"/>
      <c r="G12" s="104"/>
      <c r="H12" s="104"/>
      <c r="I12" s="64"/>
    </row>
    <row r="13" spans="2:9" ht="15.95" customHeight="1" thickBot="1" x14ac:dyDescent="0.3">
      <c r="B13" s="64"/>
      <c r="C13" s="103"/>
      <c r="D13" s="64"/>
      <c r="E13" s="64"/>
      <c r="F13" s="105"/>
      <c r="G13" s="105"/>
      <c r="H13" s="86"/>
      <c r="I13" s="64"/>
    </row>
    <row r="14" spans="2:9" s="276" customFormat="1" ht="18" customHeight="1" thickBot="1" x14ac:dyDescent="0.3">
      <c r="B14" s="275"/>
      <c r="C14" s="359" t="str">
        <f>IF(H45&lt;0,"Credit Note","Tax Invoice")</f>
        <v>Tax Invoice</v>
      </c>
      <c r="D14" s="360"/>
      <c r="E14" s="360"/>
      <c r="F14" s="360"/>
      <c r="G14" s="360"/>
      <c r="H14" s="361"/>
      <c r="I14" s="275"/>
    </row>
    <row r="15" spans="2:9" ht="15.95" customHeight="1" x14ac:dyDescent="0.25">
      <c r="B15" s="64"/>
      <c r="C15" s="103"/>
      <c r="D15" s="64"/>
      <c r="E15" s="64"/>
      <c r="F15" s="105"/>
      <c r="G15" s="105"/>
      <c r="H15" s="86"/>
      <c r="I15" s="64"/>
    </row>
    <row r="16" spans="2:9" s="110" customFormat="1" ht="15.95" customHeight="1" x14ac:dyDescent="0.2">
      <c r="B16" s="106"/>
      <c r="C16" s="107" t="s">
        <v>34</v>
      </c>
      <c r="D16" s="108" t="s">
        <v>689</v>
      </c>
      <c r="E16" s="109"/>
      <c r="F16" s="106"/>
      <c r="G16" s="106" t="s">
        <v>515</v>
      </c>
      <c r="H16" s="106" t="str">
        <f>IF(ISNA(VLOOKUP($D$16,Income[],COLUMN(Income!$C$4),0)),"",IF(VLOOKUP($D$16,Income[],COLUMN(Income!$C$4),0)=0,"",VLOOKUP($D$16,Income[],COLUMN(Income!$C$4),0)))</f>
        <v/>
      </c>
      <c r="I16" s="106"/>
    </row>
    <row r="17" spans="2:9" s="110" customFormat="1" ht="15.95" customHeight="1" x14ac:dyDescent="0.2">
      <c r="B17" s="106"/>
      <c r="C17" s="107" t="s">
        <v>32</v>
      </c>
      <c r="D17" s="111" t="str">
        <f>IF(ISNA(VLOOKUP($D$16,Income[],COLUMN(Income!$B$4),0)),"",IF(VLOOKUP($D$16,Income[],COLUMN(Income!$B$4),0)=0,"",VLOOKUP($D$16,Income[],COLUMN(Income!$B$4),0)))</f>
        <v/>
      </c>
      <c r="E17" s="112"/>
      <c r="F17" s="106"/>
      <c r="G17" s="106"/>
      <c r="H17" s="106"/>
      <c r="I17" s="106"/>
    </row>
    <row r="18" spans="2:9" ht="15.95" customHeight="1" x14ac:dyDescent="0.25">
      <c r="B18" s="64"/>
      <c r="C18" s="103"/>
      <c r="D18" s="64"/>
      <c r="E18" s="64"/>
      <c r="F18" s="64"/>
      <c r="G18" s="64"/>
      <c r="H18" s="64"/>
      <c r="I18" s="64"/>
    </row>
    <row r="19" spans="2:9" ht="15.95" customHeight="1" x14ac:dyDescent="0.25">
      <c r="B19" s="64"/>
      <c r="C19" s="113" t="s">
        <v>501</v>
      </c>
      <c r="D19" s="114"/>
      <c r="E19" s="115"/>
      <c r="F19" s="115"/>
      <c r="G19" s="115"/>
      <c r="H19" s="116"/>
      <c r="I19" s="64"/>
    </row>
    <row r="20" spans="2:9" ht="15.95" customHeight="1" x14ac:dyDescent="0.25">
      <c r="B20" s="64"/>
      <c r="C20" s="117" t="str">
        <f>IF(ISNA(VLOOKUP($H$16,Customer[],COLUMN(Customers!$B$4),0)),"",IF(VLOOKUP($H$16,Customer[],COLUMN(Customers!$B$4),0)=0,"",VLOOKUP($H$16,Customer[],COLUMN(Customers!$B$4),0)))</f>
        <v/>
      </c>
      <c r="D20" s="118"/>
      <c r="E20" s="64"/>
      <c r="F20" s="64"/>
      <c r="G20" s="64"/>
      <c r="H20" s="119"/>
      <c r="I20" s="64"/>
    </row>
    <row r="21" spans="2:9" ht="15.95" customHeight="1" x14ac:dyDescent="0.25">
      <c r="B21" s="64"/>
      <c r="C21" s="117" t="str">
        <f>IF(ISNA(VLOOKUP($H$16,Customer[],COLUMN(Customers!$C$4),0)),"",IF(VLOOKUP($H$16,Customer[],COLUMN(Customers!$C$4),0)=0,"",VLOOKUP($H$16,Customer[],COLUMN(Customers!$C$4),0)))</f>
        <v/>
      </c>
      <c r="D21" s="118"/>
      <c r="E21" s="64"/>
      <c r="F21" s="64"/>
      <c r="G21" s="64"/>
      <c r="H21" s="119"/>
      <c r="I21" s="64"/>
    </row>
    <row r="22" spans="2:9" ht="15.95" customHeight="1" x14ac:dyDescent="0.25">
      <c r="B22" s="64"/>
      <c r="C22" s="120" t="s">
        <v>502</v>
      </c>
      <c r="D22" s="121" t="str">
        <f>IF(ISNA(VLOOKUP($H$16,Customer[],COLUMN(Customers!$D$4),0)),"",IF(VLOOKUP($H$16,Customer[],COLUMN(Customers!$D$4),0)=0,"",VLOOKUP($H$16,Customer[],COLUMN(Customers!$D$4),0)))</f>
        <v/>
      </c>
      <c r="E22" s="122"/>
      <c r="F22" s="123"/>
      <c r="G22" s="123"/>
      <c r="H22" s="124"/>
      <c r="I22" s="64"/>
    </row>
    <row r="23" spans="2:9" ht="15.95" customHeight="1" x14ac:dyDescent="0.25">
      <c r="B23" s="64"/>
      <c r="C23" s="64"/>
      <c r="D23" s="64"/>
      <c r="E23" s="64"/>
      <c r="F23" s="86"/>
      <c r="G23" s="86"/>
      <c r="H23" s="86"/>
      <c r="I23" s="64"/>
    </row>
    <row r="24" spans="2:9" s="128" customFormat="1" ht="15.95" customHeight="1" x14ac:dyDescent="0.25">
      <c r="B24" s="125"/>
      <c r="C24" s="126" t="s">
        <v>7</v>
      </c>
      <c r="D24" s="127"/>
      <c r="E24" s="306" t="s">
        <v>526</v>
      </c>
      <c r="F24" s="304" t="s">
        <v>654</v>
      </c>
      <c r="G24" s="319" t="s">
        <v>656</v>
      </c>
      <c r="H24" s="305" t="s">
        <v>503</v>
      </c>
      <c r="I24" s="125"/>
    </row>
    <row r="25" spans="2:9" ht="15.95" customHeight="1" x14ac:dyDescent="0.25">
      <c r="B25" s="129"/>
      <c r="C25" s="130" t="str">
        <f t="array" ref="C25">IF(ISERROR(INDEX(Income[],SMALL(IF(IncInvoice=$D$16,ROW(IncInvoice)-4),ROW(1:1)),COLUMN(Income!$D$4)))=TRUE,"",INDEX(Income[],SMALL(IF(IncInvoice=$D$16,ROW(IncInvoice)-4),ROW(1:1)),COLUMN(Income!$D$4)))</f>
        <v/>
      </c>
      <c r="D25" s="64"/>
      <c r="E25" s="34" t="str">
        <f t="shared" ref="E25:E44" si="0">IF(ISNUMBER(H25)=FALSE,"",H25-F25)</f>
        <v/>
      </c>
      <c r="F25" s="131" t="str">
        <f t="array" ref="F25">IF(ISERROR(INDEX(Income[],SMALL(IF(IncInvoice=$D$16,ROW(IncInvoice)-4),ROW(1:1)),COLUMN(Income!$N$4)))=TRUE,"",INDEX(Income[],SMALL(IF(IncInvoice=$D$16,ROW(IncInvoice)-4),ROW(1:1)),COLUMN(Income!$N$4)))</f>
        <v/>
      </c>
      <c r="G25" s="131" t="str">
        <f t="array" ref="G25">IF(ISERROR(INDEX(Income[],SMALL(IF(IncInvoice=$D$16,ROW(IncInvoice)-4),ROW(1:1)),COLUMN(Income!$O$4)))=TRUE,"",INDEX(Income[],SMALL(IF(IncInvoice=$D$16,ROW(IncInvoice)-4),ROW(1:1)),COLUMN(Income!$O$4)))</f>
        <v/>
      </c>
      <c r="H25" s="131" t="str">
        <f t="array" ref="H25">IF(ISERROR(INDEX(Income[],SMALL(IF(IncInvoice=$D$16,ROW(IncInvoice)-4),ROW(1:1)),COLUMN(Income!$P$4)))=TRUE,"",INDEX(Income[],SMALL(IF(IncInvoice=$D$16,ROW(IncInvoice)-4),ROW(1:1)),COLUMN(Income!$P$4)))</f>
        <v/>
      </c>
      <c r="I25" s="64"/>
    </row>
    <row r="26" spans="2:9" ht="15.95" customHeight="1" x14ac:dyDescent="0.25">
      <c r="B26" s="129"/>
      <c r="C26" s="130" t="str">
        <f t="array" ref="C26">IF(ISERROR(INDEX(Income[],SMALL(IF(IncInvoice=$D$16,ROW(IncInvoice)-4),ROW(2:2)),COLUMN(Income!$D$4)))=TRUE,"",INDEX(Income[],SMALL(IF(IncInvoice=$D$16,ROW(IncInvoice)-4),ROW(2:2)),COLUMN(Income!$D$4)))</f>
        <v/>
      </c>
      <c r="D26" s="64"/>
      <c r="E26" s="34" t="str">
        <f t="shared" si="0"/>
        <v/>
      </c>
      <c r="F26" s="131" t="str">
        <f t="array" ref="F26">IF(ISERROR(INDEX(Income[],SMALL(IF(IncInvoice=$D$16,ROW(IncInvoice)-4),ROW(2:2)),COLUMN(Income!$N$4)))=TRUE,"",INDEX(Income[],SMALL(IF(IncInvoice=$D$16,ROW(IncInvoice)-4),ROW(2:2)),COLUMN(Income!$N$4)))</f>
        <v/>
      </c>
      <c r="G26" s="131" t="str">
        <f t="array" ref="G26">IF(ISERROR(INDEX(Income[],SMALL(IF(IncInvoice=$D$16,ROW(IncInvoice)-4),ROW(2:2)),COLUMN(Income!$O$4)))=TRUE,"",INDEX(Income[],SMALL(IF(IncInvoice=$D$16,ROW(IncInvoice)-4),ROW(2:2)),COLUMN(Income!$O$4)))</f>
        <v/>
      </c>
      <c r="H26" s="131" t="str">
        <f t="array" ref="H26">IF(ISERROR(INDEX(Income[],SMALL(IF(IncInvoice=$D$16,ROW(IncInvoice)-4),ROW(2:2)),COLUMN(Income!$P$4)))=TRUE,"",INDEX(Income[],SMALL(IF(IncInvoice=$D$16,ROW(IncInvoice)-4),ROW(2:2)),COLUMN(Income!$P$4)))</f>
        <v/>
      </c>
      <c r="I26" s="64"/>
    </row>
    <row r="27" spans="2:9" ht="15.95" customHeight="1" x14ac:dyDescent="0.25">
      <c r="B27" s="129"/>
      <c r="C27" s="130" t="str">
        <f t="array" ref="C27">IF(ISERROR(INDEX(Income[],SMALL(IF(IncInvoice=$D$16,ROW(IncInvoice)-4),ROW(3:3)),COLUMN(Income!$D$4)))=TRUE,"",INDEX(Income[],SMALL(IF(IncInvoice=$D$16,ROW(IncInvoice)-4),ROW(3:3)),COLUMN(Income!$D$4)))</f>
        <v/>
      </c>
      <c r="D27" s="64"/>
      <c r="E27" s="34" t="str">
        <f t="shared" si="0"/>
        <v/>
      </c>
      <c r="F27" s="131" t="str">
        <f t="array" ref="F27">IF(ISERROR(INDEX(Income[],SMALL(IF(IncInvoice=$D$16,ROW(IncInvoice)-4),ROW(3:3)),COLUMN(Income!$N$4)))=TRUE,"",INDEX(Income[],SMALL(IF(IncInvoice=$D$16,ROW(IncInvoice)-4),ROW(3:3)),COLUMN(Income!$N$4)))</f>
        <v/>
      </c>
      <c r="G27" s="131" t="str">
        <f t="array" ref="G27">IF(ISERROR(INDEX(Income[],SMALL(IF(IncInvoice=$D$16,ROW(IncInvoice)-4),ROW(3:3)),COLUMN(Income!$O$4)))=TRUE,"",INDEX(Income[],SMALL(IF(IncInvoice=$D$16,ROW(IncInvoice)-4),ROW(3:3)),COLUMN(Income!$O$4)))</f>
        <v/>
      </c>
      <c r="H27" s="131" t="str">
        <f t="array" ref="H27">IF(ISERROR(INDEX(Income[],SMALL(IF(IncInvoice=$D$16,ROW(IncInvoice)-4),ROW(3:3)),COLUMN(Income!$P$4)))=TRUE,"",INDEX(Income[],SMALL(IF(IncInvoice=$D$16,ROW(IncInvoice)-4),ROW(3:3)),COLUMN(Income!$P$4)))</f>
        <v/>
      </c>
      <c r="I27" s="64"/>
    </row>
    <row r="28" spans="2:9" ht="15.95" customHeight="1" x14ac:dyDescent="0.25">
      <c r="B28" s="129"/>
      <c r="C28" s="130" t="str">
        <f t="array" ref="C28">IF(ISERROR(INDEX(Income[],SMALL(IF(IncInvoice=$D$16,ROW(IncInvoice)-4),ROW(4:4)),COLUMN(Income!$D$4)))=TRUE,"",INDEX(Income[],SMALL(IF(IncInvoice=$D$16,ROW(IncInvoice)-4),ROW(4:4)),COLUMN(Income!$D$4)))</f>
        <v/>
      </c>
      <c r="D28" s="64"/>
      <c r="E28" s="34" t="str">
        <f t="shared" si="0"/>
        <v/>
      </c>
      <c r="F28" s="131" t="str">
        <f t="array" ref="F28">IF(ISERROR(INDEX(Income[],SMALL(IF(IncInvoice=$D$16,ROW(IncInvoice)-4),ROW(4:4)),COLUMN(Income!$N$4)))=TRUE,"",INDEX(Income[],SMALL(IF(IncInvoice=$D$16,ROW(IncInvoice)-4),ROW(4:4)),COLUMN(Income!$N$4)))</f>
        <v/>
      </c>
      <c r="G28" s="131" t="str">
        <f t="array" ref="G28">IF(ISERROR(INDEX(Income[],SMALL(IF(IncInvoice=$D$16,ROW(IncInvoice)-4),ROW(4:4)),COLUMN(Income!$O$4)))=TRUE,"",INDEX(Income[],SMALL(IF(IncInvoice=$D$16,ROW(IncInvoice)-4),ROW(4:4)),COLUMN(Income!$O$4)))</f>
        <v/>
      </c>
      <c r="H28" s="131" t="str">
        <f t="array" ref="H28">IF(ISERROR(INDEX(Income[],SMALL(IF(IncInvoice=$D$16,ROW(IncInvoice)-4),ROW(4:4)),COLUMN(Income!$P$4)))=TRUE,"",INDEX(Income[],SMALL(IF(IncInvoice=$D$16,ROW(IncInvoice)-4),ROW(4:4)),COLUMN(Income!$P$4)))</f>
        <v/>
      </c>
      <c r="I28" s="64"/>
    </row>
    <row r="29" spans="2:9" ht="15.95" customHeight="1" x14ac:dyDescent="0.25">
      <c r="B29" s="129"/>
      <c r="C29" s="130" t="str">
        <f t="array" ref="C29">IF(ISERROR(INDEX(Income[],SMALL(IF(IncInvoice=$D$16,ROW(IncInvoice)-4),ROW(5:5)),COLUMN(Income!$D$4)))=TRUE,"",INDEX(Income[],SMALL(IF(IncInvoice=$D$16,ROW(IncInvoice)-4),ROW(5:5)),COLUMN(Income!$D$4)))</f>
        <v/>
      </c>
      <c r="D29" s="64"/>
      <c r="E29" s="34" t="str">
        <f t="shared" si="0"/>
        <v/>
      </c>
      <c r="F29" s="131" t="str">
        <f t="array" ref="F29">IF(ISERROR(INDEX(Income[],SMALL(IF(IncInvoice=$D$16,ROW(IncInvoice)-4),ROW(5:5)),COLUMN(Income!$N$4)))=TRUE,"",INDEX(Income[],SMALL(IF(IncInvoice=$D$16,ROW(IncInvoice)-4),ROW(5:5)),COLUMN(Income!$N$4)))</f>
        <v/>
      </c>
      <c r="G29" s="131" t="str">
        <f t="array" ref="G29">IF(ISERROR(INDEX(Income[],SMALL(IF(IncInvoice=$D$16,ROW(IncInvoice)-4),ROW(5:5)),COLUMN(Income!$O$4)))=TRUE,"",INDEX(Income[],SMALL(IF(IncInvoice=$D$16,ROW(IncInvoice)-4),ROW(5:5)),COLUMN(Income!$O$4)))</f>
        <v/>
      </c>
      <c r="H29" s="131" t="str">
        <f t="array" ref="H29">IF(ISERROR(INDEX(Income[],SMALL(IF(IncInvoice=$D$16,ROW(IncInvoice)-4),ROW(5:5)),COLUMN(Income!$P$4)))=TRUE,"",INDEX(Income[],SMALL(IF(IncInvoice=$D$16,ROW(IncInvoice)-4),ROW(5:5)),COLUMN(Income!$P$4)))</f>
        <v/>
      </c>
      <c r="I29" s="64"/>
    </row>
    <row r="30" spans="2:9" ht="15.95" customHeight="1" x14ac:dyDescent="0.25">
      <c r="B30" s="129"/>
      <c r="C30" s="130" t="str">
        <f t="array" ref="C30">IF(ISERROR(INDEX(Income[],SMALL(IF(IncInvoice=$D$16,ROW(IncInvoice)-4),ROW(6:6)),COLUMN(Income!$D$4)))=TRUE,"",INDEX(Income[],SMALL(IF(IncInvoice=$D$16,ROW(IncInvoice)-4),ROW(6:6)),COLUMN(Income!$D$4)))</f>
        <v/>
      </c>
      <c r="D30" s="64"/>
      <c r="E30" s="34" t="str">
        <f t="shared" si="0"/>
        <v/>
      </c>
      <c r="F30" s="131" t="str">
        <f t="array" ref="F30">IF(ISERROR(INDEX(Income[],SMALL(IF(IncInvoice=$D$16,ROW(IncInvoice)-4),ROW(6:6)),COLUMN(Income!$N$4)))=TRUE,"",INDEX(Income[],SMALL(IF(IncInvoice=$D$16,ROW(IncInvoice)-4),ROW(6:6)),COLUMN(Income!$N$4)))</f>
        <v/>
      </c>
      <c r="G30" s="131" t="str">
        <f t="array" ref="G30">IF(ISERROR(INDEX(Income[],SMALL(IF(IncInvoice=$D$16,ROW(IncInvoice)-4),ROW(6:6)),COLUMN(Income!$O$4)))=TRUE,"",INDEX(Income[],SMALL(IF(IncInvoice=$D$16,ROW(IncInvoice)-4),ROW(6:6)),COLUMN(Income!$O$4)))</f>
        <v/>
      </c>
      <c r="H30" s="131" t="str">
        <f t="array" ref="H30">IF(ISERROR(INDEX(Income[],SMALL(IF(IncInvoice=$D$16,ROW(IncInvoice)-4),ROW(6:6)),COLUMN(Income!$P$4)))=TRUE,"",INDEX(Income[],SMALL(IF(IncInvoice=$D$16,ROW(IncInvoice)-4),ROW(6:6)),COLUMN(Income!$P$4)))</f>
        <v/>
      </c>
      <c r="I30" s="64"/>
    </row>
    <row r="31" spans="2:9" ht="15.95" customHeight="1" x14ac:dyDescent="0.25">
      <c r="B31" s="129"/>
      <c r="C31" s="130" t="str">
        <f t="array" ref="C31">IF(ISERROR(INDEX(Income[],SMALL(IF(IncInvoice=$D$16,ROW(IncInvoice)-4),ROW(7:7)),COLUMN(Income!$D$4)))=TRUE,"",INDEX(Income[],SMALL(IF(IncInvoice=$D$16,ROW(IncInvoice)-4),ROW(7:7)),COLUMN(Income!$D$4)))</f>
        <v/>
      </c>
      <c r="D31" s="64"/>
      <c r="E31" s="34" t="str">
        <f t="shared" si="0"/>
        <v/>
      </c>
      <c r="F31" s="131" t="str">
        <f t="array" ref="F31">IF(ISERROR(INDEX(Income[],SMALL(IF(IncInvoice=$D$16,ROW(IncInvoice)-4),ROW(7:7)),COLUMN(Income!$N$4)))=TRUE,"",INDEX(Income[],SMALL(IF(IncInvoice=$D$16,ROW(IncInvoice)-4),ROW(7:7)),COLUMN(Income!$N$4)))</f>
        <v/>
      </c>
      <c r="G31" s="131" t="str">
        <f t="array" ref="G31">IF(ISERROR(INDEX(Income[],SMALL(IF(IncInvoice=$D$16,ROW(IncInvoice)-4),ROW(7:7)),COLUMN(Income!$O$4)))=TRUE,"",INDEX(Income[],SMALL(IF(IncInvoice=$D$16,ROW(IncInvoice)-4),ROW(7:7)),COLUMN(Income!$O$4)))</f>
        <v/>
      </c>
      <c r="H31" s="131" t="str">
        <f t="array" ref="H31">IF(ISERROR(INDEX(Income[],SMALL(IF(IncInvoice=$D$16,ROW(IncInvoice)-4),ROW(7:7)),COLUMN(Income!$P$4)))=TRUE,"",INDEX(Income[],SMALL(IF(IncInvoice=$D$16,ROW(IncInvoice)-4),ROW(7:7)),COLUMN(Income!$P$4)))</f>
        <v/>
      </c>
      <c r="I31" s="64"/>
    </row>
    <row r="32" spans="2:9" ht="15.95" customHeight="1" x14ac:dyDescent="0.25">
      <c r="B32" s="129"/>
      <c r="C32" s="130" t="str">
        <f t="array" ref="C32">IF(ISERROR(INDEX(Income[],SMALL(IF(IncInvoice=$D$16,ROW(IncInvoice)-4),ROW(8:8)),COLUMN(Income!$D$4)))=TRUE,"",INDEX(Income[],SMALL(IF(IncInvoice=$D$16,ROW(IncInvoice)-4),ROW(8:8)),COLUMN(Income!$D$4)))</f>
        <v/>
      </c>
      <c r="D32" s="64"/>
      <c r="E32" s="34" t="str">
        <f t="shared" si="0"/>
        <v/>
      </c>
      <c r="F32" s="131" t="str">
        <f t="array" ref="F32">IF(ISERROR(INDEX(Income[],SMALL(IF(IncInvoice=$D$16,ROW(IncInvoice)-4),ROW(8:8)),COLUMN(Income!$N$4)))=TRUE,"",INDEX(Income[],SMALL(IF(IncInvoice=$D$16,ROW(IncInvoice)-4),ROW(8:8)),COLUMN(Income!$N$4)))</f>
        <v/>
      </c>
      <c r="G32" s="131" t="str">
        <f t="array" ref="G32">IF(ISERROR(INDEX(Income[],SMALL(IF(IncInvoice=$D$16,ROW(IncInvoice)-4),ROW(8:8)),COLUMN(Income!$O$4)))=TRUE,"",INDEX(Income[],SMALL(IF(IncInvoice=$D$16,ROW(IncInvoice)-4),ROW(8:8)),COLUMN(Income!$O$4)))</f>
        <v/>
      </c>
      <c r="H32" s="131" t="str">
        <f t="array" ref="H32">IF(ISERROR(INDEX(Income[],SMALL(IF(IncInvoice=$D$16,ROW(IncInvoice)-4),ROW(8:8)),COLUMN(Income!$P$4)))=TRUE,"",INDEX(Income[],SMALL(IF(IncInvoice=$D$16,ROW(IncInvoice)-4),ROW(8:8)),COLUMN(Income!$P$4)))</f>
        <v/>
      </c>
      <c r="I32" s="64"/>
    </row>
    <row r="33" spans="2:9" ht="15.95" customHeight="1" x14ac:dyDescent="0.25">
      <c r="B33" s="129"/>
      <c r="C33" s="130" t="str">
        <f t="array" ref="C33">IF(ISERROR(INDEX(Income[],SMALL(IF(IncInvoice=$D$16,ROW(IncInvoice)-4),ROW(9:9)),COLUMN(Income!$D$4)))=TRUE,"",INDEX(Income[],SMALL(IF(IncInvoice=$D$16,ROW(IncInvoice)-4),ROW(9:9)),COLUMN(Income!$D$4)))</f>
        <v/>
      </c>
      <c r="D33" s="64"/>
      <c r="E33" s="34" t="str">
        <f t="shared" si="0"/>
        <v/>
      </c>
      <c r="F33" s="131" t="str">
        <f t="array" ref="F33">IF(ISERROR(INDEX(Income[],SMALL(IF(IncInvoice=$D$16,ROW(IncInvoice)-4),ROW(9:9)),COLUMN(Income!$N$4)))=TRUE,"",INDEX(Income[],SMALL(IF(IncInvoice=$D$16,ROW(IncInvoice)-4),ROW(9:9)),COLUMN(Income!$N$4)))</f>
        <v/>
      </c>
      <c r="G33" s="131" t="str">
        <f t="array" ref="G33">IF(ISERROR(INDEX(Income[],SMALL(IF(IncInvoice=$D$16,ROW(IncInvoice)-4),ROW(9:9)),COLUMN(Income!$O$4)))=TRUE,"",INDEX(Income[],SMALL(IF(IncInvoice=$D$16,ROW(IncInvoice)-4),ROW(9:9)),COLUMN(Income!$O$4)))</f>
        <v/>
      </c>
      <c r="H33" s="131" t="str">
        <f t="array" ref="H33">IF(ISERROR(INDEX(Income[],SMALL(IF(IncInvoice=$D$16,ROW(IncInvoice)-4),ROW(9:9)),COLUMN(Income!$P$4)))=TRUE,"",INDEX(Income[],SMALL(IF(IncInvoice=$D$16,ROW(IncInvoice)-4),ROW(9:9)),COLUMN(Income!$P$4)))</f>
        <v/>
      </c>
      <c r="I33" s="64"/>
    </row>
    <row r="34" spans="2:9" ht="15.95" customHeight="1" x14ac:dyDescent="0.25">
      <c r="B34" s="129"/>
      <c r="C34" s="130" t="str">
        <f t="array" ref="C34">IF(ISERROR(INDEX(Income[],SMALL(IF(IncInvoice=$D$16,ROW(IncInvoice)-4),ROW(10:10)),COLUMN(Income!$D$4)))=TRUE,"",INDEX(Income[],SMALL(IF(IncInvoice=$D$16,ROW(IncInvoice)-4),ROW(10:10)),COLUMN(Income!$D$4)))</f>
        <v/>
      </c>
      <c r="D34" s="64"/>
      <c r="E34" s="34" t="str">
        <f t="shared" si="0"/>
        <v/>
      </c>
      <c r="F34" s="131" t="str">
        <f t="array" ref="F34">IF(ISERROR(INDEX(Income[],SMALL(IF(IncInvoice=$D$16,ROW(IncInvoice)-4),ROW(10:10)),COLUMN(Income!$N$4)))=TRUE,"",INDEX(Income[],SMALL(IF(IncInvoice=$D$16,ROW(IncInvoice)-4),ROW(10:10)),COLUMN(Income!$N$4)))</f>
        <v/>
      </c>
      <c r="G34" s="131" t="str">
        <f t="array" ref="G34">IF(ISERROR(INDEX(Income[],SMALL(IF(IncInvoice=$D$16,ROW(IncInvoice)-4),ROW(10:10)),COLUMN(Income!$O$4)))=TRUE,"",INDEX(Income[],SMALL(IF(IncInvoice=$D$16,ROW(IncInvoice)-4),ROW(10:10)),COLUMN(Income!$O$4)))</f>
        <v/>
      </c>
      <c r="H34" s="131" t="str">
        <f t="array" ref="H34">IF(ISERROR(INDEX(Income[],SMALL(IF(IncInvoice=$D$16,ROW(IncInvoice)-4),ROW(10:10)),COLUMN(Income!$P$4)))=TRUE,"",INDEX(Income[],SMALL(IF(IncInvoice=$D$16,ROW(IncInvoice)-4),ROW(10:10)),COLUMN(Income!$P$4)))</f>
        <v/>
      </c>
      <c r="I34" s="64"/>
    </row>
    <row r="35" spans="2:9" ht="15.95" customHeight="1" x14ac:dyDescent="0.25">
      <c r="B35" s="129"/>
      <c r="C35" s="130" t="str">
        <f t="array" ref="C35">IF(ISERROR(INDEX(Income[],SMALL(IF(IncInvoice=$D$16,ROW(IncInvoice)-4),ROW(11:11)),COLUMN(Income!$D$4)))=TRUE,"",INDEX(Income[],SMALL(IF(IncInvoice=$D$16,ROW(IncInvoice)-4),ROW(11:11)),COLUMN(Income!$D$4)))</f>
        <v/>
      </c>
      <c r="D35" s="64"/>
      <c r="E35" s="34" t="str">
        <f t="shared" si="0"/>
        <v/>
      </c>
      <c r="F35" s="131" t="str">
        <f t="array" ref="F35">IF(ISERROR(INDEX(Income[],SMALL(IF(IncInvoice=$D$16,ROW(IncInvoice)-4),ROW(11:11)),COLUMN(Income!$N$4)))=TRUE,"",INDEX(Income[],SMALL(IF(IncInvoice=$D$16,ROW(IncInvoice)-4),ROW(11:11)),COLUMN(Income!$N$4)))</f>
        <v/>
      </c>
      <c r="G35" s="131" t="str">
        <f t="array" ref="G35">IF(ISERROR(INDEX(Income[],SMALL(IF(IncInvoice=$D$16,ROW(IncInvoice)-4),ROW(11:11)),COLUMN(Income!$O$4)))=TRUE,"",INDEX(Income[],SMALL(IF(IncInvoice=$D$16,ROW(IncInvoice)-4),ROW(11:11)),COLUMN(Income!$O$4)))</f>
        <v/>
      </c>
      <c r="H35" s="131" t="str">
        <f t="array" ref="H35">IF(ISERROR(INDEX(Income[],SMALL(IF(IncInvoice=$D$16,ROW(IncInvoice)-4),ROW(11:11)),COLUMN(Income!$P$4)))=TRUE,"",INDEX(Income[],SMALL(IF(IncInvoice=$D$16,ROW(IncInvoice)-4),ROW(11:11)),COLUMN(Income!$P$4)))</f>
        <v/>
      </c>
      <c r="I35" s="64"/>
    </row>
    <row r="36" spans="2:9" ht="15.95" customHeight="1" x14ac:dyDescent="0.25">
      <c r="B36" s="129"/>
      <c r="C36" s="130" t="str">
        <f t="array" ref="C36">IF(ISERROR(INDEX(Income[],SMALL(IF(IncInvoice=$D$16,ROW(IncInvoice)-4),ROW(12:12)),COLUMN(Income!$D$4)))=TRUE,"",INDEX(Income[],SMALL(IF(IncInvoice=$D$16,ROW(IncInvoice)-4),ROW(12:12)),COLUMN(Income!$D$4)))</f>
        <v/>
      </c>
      <c r="D36" s="64"/>
      <c r="E36" s="34" t="str">
        <f t="shared" si="0"/>
        <v/>
      </c>
      <c r="F36" s="131" t="str">
        <f t="array" ref="F36">IF(ISERROR(INDEX(Income[],SMALL(IF(IncInvoice=$D$16,ROW(IncInvoice)-4),ROW(12:12)),COLUMN(Income!$N$4)))=TRUE,"",INDEX(Income[],SMALL(IF(IncInvoice=$D$16,ROW(IncInvoice)-4),ROW(12:12)),COLUMN(Income!$N$4)))</f>
        <v/>
      </c>
      <c r="G36" s="131" t="str">
        <f t="array" ref="G36">IF(ISERROR(INDEX(Income[],SMALL(IF(IncInvoice=$D$16,ROW(IncInvoice)-4),ROW(12:12)),COLUMN(Income!$O$4)))=TRUE,"",INDEX(Income[],SMALL(IF(IncInvoice=$D$16,ROW(IncInvoice)-4),ROW(12:12)),COLUMN(Income!$O$4)))</f>
        <v/>
      </c>
      <c r="H36" s="131" t="str">
        <f t="array" ref="H36">IF(ISERROR(INDEX(Income[],SMALL(IF(IncInvoice=$D$16,ROW(IncInvoice)-4),ROW(12:12)),COLUMN(Income!$P$4)))=TRUE,"",INDEX(Income[],SMALL(IF(IncInvoice=$D$16,ROW(IncInvoice)-4),ROW(12:12)),COLUMN(Income!$P$4)))</f>
        <v/>
      </c>
      <c r="I36" s="64"/>
    </row>
    <row r="37" spans="2:9" ht="15.95" customHeight="1" x14ac:dyDescent="0.25">
      <c r="B37" s="129"/>
      <c r="C37" s="130" t="str">
        <f t="array" ref="C37">IF(ISERROR(INDEX(Income[],SMALL(IF(IncInvoice=$D$16,ROW(IncInvoice)-4),ROW(13:13)),COLUMN(Income!$D$4)))=TRUE,"",INDEX(Income[],SMALL(IF(IncInvoice=$D$16,ROW(IncInvoice)-4),ROW(13:13)),COLUMN(Income!$D$4)))</f>
        <v/>
      </c>
      <c r="D37" s="64"/>
      <c r="E37" s="34" t="str">
        <f t="shared" si="0"/>
        <v/>
      </c>
      <c r="F37" s="131" t="str">
        <f t="array" ref="F37">IF(ISERROR(INDEX(Income[],SMALL(IF(IncInvoice=$D$16,ROW(IncInvoice)-4),ROW(13:13)),COLUMN(Income!$N$4)))=TRUE,"",INDEX(Income[],SMALL(IF(IncInvoice=$D$16,ROW(IncInvoice)-4),ROW(13:13)),COLUMN(Income!$N$4)))</f>
        <v/>
      </c>
      <c r="G37" s="131" t="str">
        <f t="array" ref="G37">IF(ISERROR(INDEX(Income[],SMALL(IF(IncInvoice=$D$16,ROW(IncInvoice)-4),ROW(13:13)),COLUMN(Income!$O$4)))=TRUE,"",INDEX(Income[],SMALL(IF(IncInvoice=$D$16,ROW(IncInvoice)-4),ROW(13:13)),COLUMN(Income!$O$4)))</f>
        <v/>
      </c>
      <c r="H37" s="131" t="str">
        <f t="array" ref="H37">IF(ISERROR(INDEX(Income[],SMALL(IF(IncInvoice=$D$16,ROW(IncInvoice)-4),ROW(13:13)),COLUMN(Income!$P$4)))=TRUE,"",INDEX(Income[],SMALL(IF(IncInvoice=$D$16,ROW(IncInvoice)-4),ROW(13:13)),COLUMN(Income!$P$4)))</f>
        <v/>
      </c>
      <c r="I37" s="64"/>
    </row>
    <row r="38" spans="2:9" ht="15.95" customHeight="1" x14ac:dyDescent="0.25">
      <c r="B38" s="129"/>
      <c r="C38" s="130" t="str">
        <f t="array" ref="C38">IF(ISERROR(INDEX(Income[],SMALL(IF(IncInvoice=$D$16,ROW(IncInvoice)-4),ROW(14:14)),COLUMN(Income!$D$4)))=TRUE,"",INDEX(Income[],SMALL(IF(IncInvoice=$D$16,ROW(IncInvoice)-4),ROW(14:14)),COLUMN(Income!$D$4)))</f>
        <v/>
      </c>
      <c r="D38" s="64"/>
      <c r="E38" s="34" t="str">
        <f t="shared" si="0"/>
        <v/>
      </c>
      <c r="F38" s="131" t="str">
        <f t="array" ref="F38">IF(ISERROR(INDEX(Income[],SMALL(IF(IncInvoice=$D$16,ROW(IncInvoice)-4),ROW(14:14)),COLUMN(Income!$N$4)))=TRUE,"",INDEX(Income[],SMALL(IF(IncInvoice=$D$16,ROW(IncInvoice)-4),ROW(14:14)),COLUMN(Income!$N$4)))</f>
        <v/>
      </c>
      <c r="G38" s="131" t="str">
        <f t="array" ref="G38">IF(ISERROR(INDEX(Income[],SMALL(IF(IncInvoice=$D$16,ROW(IncInvoice)-4),ROW(14:14)),COLUMN(Income!$O$4)))=TRUE,"",INDEX(Income[],SMALL(IF(IncInvoice=$D$16,ROW(IncInvoice)-4),ROW(14:14)),COLUMN(Income!$O$4)))</f>
        <v/>
      </c>
      <c r="H38" s="131" t="str">
        <f t="array" ref="H38">IF(ISERROR(INDEX(Income[],SMALL(IF(IncInvoice=$D$16,ROW(IncInvoice)-4),ROW(14:14)),COLUMN(Income!$P$4)))=TRUE,"",INDEX(Income[],SMALL(IF(IncInvoice=$D$16,ROW(IncInvoice)-4),ROW(14:14)),COLUMN(Income!$P$4)))</f>
        <v/>
      </c>
      <c r="I38" s="64"/>
    </row>
    <row r="39" spans="2:9" ht="15.95" customHeight="1" x14ac:dyDescent="0.25">
      <c r="B39" s="129"/>
      <c r="C39" s="130" t="str">
        <f t="array" ref="C39">IF(ISERROR(INDEX(Income[],SMALL(IF(IncInvoice=$D$16,ROW(IncInvoice)-4),ROW(15:15)),COLUMN(Income!$D$4)))=TRUE,"",INDEX(Income[],SMALL(IF(IncInvoice=$D$16,ROW(IncInvoice)-4),ROW(15:15)),COLUMN(Income!$D$4)))</f>
        <v/>
      </c>
      <c r="D39" s="64"/>
      <c r="E39" s="34" t="str">
        <f t="shared" si="0"/>
        <v/>
      </c>
      <c r="F39" s="131" t="str">
        <f t="array" ref="F39">IF(ISERROR(INDEX(Income[],SMALL(IF(IncInvoice=$D$16,ROW(IncInvoice)-4),ROW(15:15)),COLUMN(Income!$N$4)))=TRUE,"",INDEX(Income[],SMALL(IF(IncInvoice=$D$16,ROW(IncInvoice)-4),ROW(15:15)),COLUMN(Income!$N$4)))</f>
        <v/>
      </c>
      <c r="G39" s="131" t="str">
        <f t="array" ref="G39">IF(ISERROR(INDEX(Income[],SMALL(IF(IncInvoice=$D$16,ROW(IncInvoice)-4),ROW(15:15)),COLUMN(Income!$O$4)))=TRUE,"",INDEX(Income[],SMALL(IF(IncInvoice=$D$16,ROW(IncInvoice)-4),ROW(15:15)),COLUMN(Income!$O$4)))</f>
        <v/>
      </c>
      <c r="H39" s="131" t="str">
        <f t="array" ref="H39">IF(ISERROR(INDEX(Income[],SMALL(IF(IncInvoice=$D$16,ROW(IncInvoice)-4),ROW(15:15)),COLUMN(Income!$P$4)))=TRUE,"",INDEX(Income[],SMALL(IF(IncInvoice=$D$16,ROW(IncInvoice)-4),ROW(15:15)),COLUMN(Income!$P$4)))</f>
        <v/>
      </c>
      <c r="I39" s="64"/>
    </row>
    <row r="40" spans="2:9" ht="15.95" customHeight="1" x14ac:dyDescent="0.25">
      <c r="B40" s="129"/>
      <c r="C40" s="130" t="str">
        <f t="array" ref="C40">IF(ISERROR(INDEX(Income[],SMALL(IF(IncInvoice=$D$16,ROW(IncInvoice)-4),ROW(16:16)),COLUMN(Income!$D$4)))=TRUE,"",INDEX(Income[],SMALL(IF(IncInvoice=$D$16,ROW(IncInvoice)-4),ROW(16:16)),COLUMN(Income!$D$4)))</f>
        <v/>
      </c>
      <c r="D40" s="64"/>
      <c r="E40" s="34" t="str">
        <f t="shared" si="0"/>
        <v/>
      </c>
      <c r="F40" s="131" t="str">
        <f t="array" ref="F40">IF(ISERROR(INDEX(Income[],SMALL(IF(IncInvoice=$D$16,ROW(IncInvoice)-4),ROW(16:16)),COLUMN(Income!$N$4)))=TRUE,"",INDEX(Income[],SMALL(IF(IncInvoice=$D$16,ROW(IncInvoice)-4),ROW(16:16)),COLUMN(Income!$N$4)))</f>
        <v/>
      </c>
      <c r="G40" s="131" t="str">
        <f t="array" ref="G40">IF(ISERROR(INDEX(Income[],SMALL(IF(IncInvoice=$D$16,ROW(IncInvoice)-4),ROW(16:16)),COLUMN(Income!$O$4)))=TRUE,"",INDEX(Income[],SMALL(IF(IncInvoice=$D$16,ROW(IncInvoice)-4),ROW(16:16)),COLUMN(Income!$O$4)))</f>
        <v/>
      </c>
      <c r="H40" s="131" t="str">
        <f t="array" ref="H40">IF(ISERROR(INDEX(Income[],SMALL(IF(IncInvoice=$D$16,ROW(IncInvoice)-4),ROW(16:16)),COLUMN(Income!$P$4)))=TRUE,"",INDEX(Income[],SMALL(IF(IncInvoice=$D$16,ROW(IncInvoice)-4),ROW(16:16)),COLUMN(Income!$P$4)))</f>
        <v/>
      </c>
      <c r="I40" s="64"/>
    </row>
    <row r="41" spans="2:9" ht="15.95" customHeight="1" x14ac:dyDescent="0.25">
      <c r="B41" s="129"/>
      <c r="C41" s="130" t="str">
        <f t="array" ref="C41">IF(ISERROR(INDEX(Income[],SMALL(IF(IncInvoice=$D$16,ROW(IncInvoice)-4),ROW(17:17)),COLUMN(Income!$D$4)))=TRUE,"",INDEX(Income[],SMALL(IF(IncInvoice=$D$16,ROW(IncInvoice)-4),ROW(17:17)),COLUMN(Income!$D$4)))</f>
        <v/>
      </c>
      <c r="D41" s="64"/>
      <c r="E41" s="34" t="str">
        <f t="shared" si="0"/>
        <v/>
      </c>
      <c r="F41" s="131" t="str">
        <f t="array" ref="F41">IF(ISERROR(INDEX(Income[],SMALL(IF(IncInvoice=$D$16,ROW(IncInvoice)-4),ROW(17:17)),COLUMN(Income!$N$4)))=TRUE,"",INDEX(Income[],SMALL(IF(IncInvoice=$D$16,ROW(IncInvoice)-4),ROW(17:17)),COLUMN(Income!$N$4)))</f>
        <v/>
      </c>
      <c r="G41" s="131" t="str">
        <f t="array" ref="G41">IF(ISERROR(INDEX(Income[],SMALL(IF(IncInvoice=$D$16,ROW(IncInvoice)-4),ROW(17:17)),COLUMN(Income!$O$4)))=TRUE,"",INDEX(Income[],SMALL(IF(IncInvoice=$D$16,ROW(IncInvoice)-4),ROW(17:17)),COLUMN(Income!$O$4)))</f>
        <v/>
      </c>
      <c r="H41" s="131" t="str">
        <f t="array" ref="H41">IF(ISERROR(INDEX(Income[],SMALL(IF(IncInvoice=$D$16,ROW(IncInvoice)-4),ROW(17:17)),COLUMN(Income!$P$4)))=TRUE,"",INDEX(Income[],SMALL(IF(IncInvoice=$D$16,ROW(IncInvoice)-4),ROW(17:17)),COLUMN(Income!$P$4)))</f>
        <v/>
      </c>
      <c r="I41" s="64"/>
    </row>
    <row r="42" spans="2:9" ht="15.95" customHeight="1" x14ac:dyDescent="0.25">
      <c r="B42" s="129"/>
      <c r="C42" s="130" t="str">
        <f t="array" ref="C42">IF(ISERROR(INDEX(Income[],SMALL(IF(IncInvoice=$D$16,ROW(IncInvoice)-4),ROW(18:18)),COLUMN(Income!$D$4)))=TRUE,"",INDEX(Income[],SMALL(IF(IncInvoice=$D$16,ROW(IncInvoice)-4),ROW(18:18)),COLUMN(Income!$D$4)))</f>
        <v/>
      </c>
      <c r="D42" s="64"/>
      <c r="E42" s="34" t="str">
        <f t="shared" si="0"/>
        <v/>
      </c>
      <c r="F42" s="131" t="str">
        <f t="array" ref="F42">IF(ISERROR(INDEX(Income[],SMALL(IF(IncInvoice=$D$16,ROW(IncInvoice)-4),ROW(18:18)),COLUMN(Income!$N$4)))=TRUE,"",INDEX(Income[],SMALL(IF(IncInvoice=$D$16,ROW(IncInvoice)-4),ROW(18:18)),COLUMN(Income!$N$4)))</f>
        <v/>
      </c>
      <c r="G42" s="131" t="str">
        <f t="array" ref="G42">IF(ISERROR(INDEX(Income[],SMALL(IF(IncInvoice=$D$16,ROW(IncInvoice)-4),ROW(18:18)),COLUMN(Income!$O$4)))=TRUE,"",INDEX(Income[],SMALL(IF(IncInvoice=$D$16,ROW(IncInvoice)-4),ROW(18:18)),COLUMN(Income!$O$4)))</f>
        <v/>
      </c>
      <c r="H42" s="131" t="str">
        <f t="array" ref="H42">IF(ISERROR(INDEX(Income[],SMALL(IF(IncInvoice=$D$16,ROW(IncInvoice)-4),ROW(18:18)),COLUMN(Income!$P$4)))=TRUE,"",INDEX(Income[],SMALL(IF(IncInvoice=$D$16,ROW(IncInvoice)-4),ROW(18:18)),COLUMN(Income!$P$4)))</f>
        <v/>
      </c>
      <c r="I42" s="64"/>
    </row>
    <row r="43" spans="2:9" ht="15.95" customHeight="1" x14ac:dyDescent="0.25">
      <c r="B43" s="129"/>
      <c r="C43" s="130" t="str">
        <f t="array" ref="C43">IF(ISERROR(INDEX(Income[],SMALL(IF(IncInvoice=$D$16,ROW(IncInvoice)-4),ROW(19:19)),COLUMN(Income!$D$4)))=TRUE,"",INDEX(Income[],SMALL(IF(IncInvoice=$D$16,ROW(IncInvoice)-4),ROW(19:19)),COLUMN(Income!$D$4)))</f>
        <v/>
      </c>
      <c r="D43" s="64"/>
      <c r="E43" s="34" t="str">
        <f t="shared" si="0"/>
        <v/>
      </c>
      <c r="F43" s="131" t="str">
        <f t="array" ref="F43">IF(ISERROR(INDEX(Income[],SMALL(IF(IncInvoice=$D$16,ROW(IncInvoice)-4),ROW(19:19)),COLUMN(Income!$N$4)))=TRUE,"",INDEX(Income[],SMALL(IF(IncInvoice=$D$16,ROW(IncInvoice)-4),ROW(19:19)),COLUMN(Income!$N$4)))</f>
        <v/>
      </c>
      <c r="G43" s="131" t="str">
        <f t="array" ref="G43">IF(ISERROR(INDEX(Income[],SMALL(IF(IncInvoice=$D$16,ROW(IncInvoice)-4),ROW(19:19)),COLUMN(Income!$O$4)))=TRUE,"",INDEX(Income[],SMALL(IF(IncInvoice=$D$16,ROW(IncInvoice)-4),ROW(19:19)),COLUMN(Income!$O$4)))</f>
        <v/>
      </c>
      <c r="H43" s="131" t="str">
        <f t="array" ref="H43">IF(ISERROR(INDEX(Income[],SMALL(IF(IncInvoice=$D$16,ROW(IncInvoice)-4),ROW(19:19)),COLUMN(Income!$P$4)))=TRUE,"",INDEX(Income[],SMALL(IF(IncInvoice=$D$16,ROW(IncInvoice)-4),ROW(19:19)),COLUMN(Income!$P$4)))</f>
        <v/>
      </c>
      <c r="I43" s="64"/>
    </row>
    <row r="44" spans="2:9" ht="15.95" customHeight="1" x14ac:dyDescent="0.25">
      <c r="B44" s="129"/>
      <c r="C44" s="130" t="str">
        <f t="array" ref="C44">IF(ISERROR(INDEX(Income[],SMALL(IF(IncInvoice=$D$16,ROW(IncInvoice)-4),ROW(20:20)),COLUMN(Income!$D$4)))=TRUE,"",INDEX(Income[],SMALL(IF(IncInvoice=$D$16,ROW(IncInvoice)-4),ROW(20:20)),COLUMN(Income!$D$4)))</f>
        <v/>
      </c>
      <c r="D44" s="64"/>
      <c r="E44" s="34" t="str">
        <f t="shared" si="0"/>
        <v/>
      </c>
      <c r="F44" s="131" t="str">
        <f t="array" ref="F44">IF(ISERROR(INDEX(Income[],SMALL(IF(IncInvoice=$D$16,ROW(IncInvoice)-4),ROW(20:20)),COLUMN(Income!$N$4)))=TRUE,"",INDEX(Income[],SMALL(IF(IncInvoice=$D$16,ROW(IncInvoice)-4),ROW(20:20)),COLUMN(Income!$N$4)))</f>
        <v/>
      </c>
      <c r="G44" s="131" t="str">
        <f t="array" ref="G44">IF(ISERROR(INDEX(Income[],SMALL(IF(IncInvoice=$D$16,ROW(IncInvoice)-4),ROW(20:20)),COLUMN(Income!$O$4)))=TRUE,"",INDEX(Income[],SMALL(IF(IncInvoice=$D$16,ROW(IncInvoice)-4),ROW(20:20)),COLUMN(Income!$O$4)))</f>
        <v/>
      </c>
      <c r="H44" s="131" t="str">
        <f t="array" ref="H44">IF(ISERROR(INDEX(Income[],SMALL(IF(IncInvoice=$D$16,ROW(IncInvoice)-4),ROW(20:20)),COLUMN(Income!$P$4)))=TRUE,"",INDEX(Income[],SMALL(IF(IncInvoice=$D$16,ROW(IncInvoice)-4),ROW(20:20)),COLUMN(Income!$P$4)))</f>
        <v/>
      </c>
      <c r="I44" s="64"/>
    </row>
    <row r="45" spans="2:9" s="110" customFormat="1" ht="15.95" customHeight="1" thickBot="1" x14ac:dyDescent="0.25">
      <c r="B45" s="132"/>
      <c r="C45" s="107" t="s">
        <v>503</v>
      </c>
      <c r="D45" s="106"/>
      <c r="E45" s="133">
        <f>SUM(E25:E44)</f>
        <v>0</v>
      </c>
      <c r="F45" s="133">
        <f>SUM(F25:F44)</f>
        <v>0</v>
      </c>
      <c r="G45" s="133">
        <f>SUM(G25:G44)</f>
        <v>0</v>
      </c>
      <c r="H45" s="133">
        <f>SUM(H25:H44)</f>
        <v>0</v>
      </c>
      <c r="I45" s="106"/>
    </row>
    <row r="46" spans="2:9" ht="15.95" customHeight="1" x14ac:dyDescent="0.25">
      <c r="B46" s="64"/>
      <c r="C46" s="64"/>
      <c r="D46" s="64"/>
      <c r="E46" s="64"/>
      <c r="F46" s="86"/>
      <c r="G46" s="86"/>
      <c r="H46" s="86"/>
      <c r="I46" s="64"/>
    </row>
    <row r="47" spans="2:9" ht="15.95" customHeight="1" x14ac:dyDescent="0.25">
      <c r="B47" s="64"/>
      <c r="C47" s="134" t="s">
        <v>504</v>
      </c>
      <c r="D47" s="135"/>
      <c r="E47" s="115"/>
      <c r="F47" s="136"/>
      <c r="G47" s="136"/>
      <c r="H47" s="137"/>
      <c r="I47" s="64"/>
    </row>
    <row r="48" spans="2:9" ht="15.95" customHeight="1" x14ac:dyDescent="0.25">
      <c r="B48" s="64"/>
      <c r="C48" s="138" t="str">
        <f>IF(ISBLANK(Setup!C54),"",Setup!A54&amp;": "&amp;Setup!C54)</f>
        <v>Bank Name: Example Bank</v>
      </c>
      <c r="D48" s="64"/>
      <c r="E48" s="64"/>
      <c r="F48" s="139"/>
      <c r="G48" s="139"/>
      <c r="H48" s="140"/>
      <c r="I48" s="64"/>
    </row>
    <row r="49" spans="2:9" ht="15.95" customHeight="1" x14ac:dyDescent="0.25">
      <c r="B49" s="64"/>
      <c r="C49" s="138" t="str">
        <f>IF(ISBLANK(Setup!C55),"",Setup!A55&amp;": "&amp;Setup!C55)</f>
        <v>Account Type: Current Account</v>
      </c>
      <c r="D49" s="64"/>
      <c r="E49" s="64"/>
      <c r="F49" s="139"/>
      <c r="G49" s="139"/>
      <c r="H49" s="140"/>
      <c r="I49" s="64"/>
    </row>
    <row r="50" spans="2:9" ht="15.95" customHeight="1" x14ac:dyDescent="0.25">
      <c r="B50" s="64"/>
      <c r="C50" s="138" t="str">
        <f>IF(ISBLANK(Setup!C56),"",Setup!A56&amp;": "&amp;Setup!C56)</f>
        <v>Bank Code: 999-999</v>
      </c>
      <c r="D50" s="64"/>
      <c r="E50" s="64"/>
      <c r="F50" s="139"/>
      <c r="G50" s="139"/>
      <c r="H50" s="140"/>
      <c r="I50" s="64"/>
    </row>
    <row r="51" spans="2:9" ht="15.95" customHeight="1" x14ac:dyDescent="0.25">
      <c r="B51" s="64"/>
      <c r="C51" s="138" t="str">
        <f>IF(ISBLANK(Setup!C57),"",Setup!A57&amp;": "&amp;Setup!C57)</f>
        <v>Account Number: 1111 999 888</v>
      </c>
      <c r="D51" s="64"/>
      <c r="E51" s="64"/>
      <c r="F51" s="139"/>
      <c r="G51" s="139"/>
      <c r="H51" s="140"/>
      <c r="I51" s="64"/>
    </row>
    <row r="52" spans="2:9" ht="15.95" customHeight="1" x14ac:dyDescent="0.25">
      <c r="B52" s="64"/>
      <c r="C52" s="141" t="str">
        <f>IF(ISBLANK(Setup!C58),"",Setup!C58)</f>
        <v>Please use your customer code as your payment reference.</v>
      </c>
      <c r="D52" s="122"/>
      <c r="E52" s="122"/>
      <c r="F52" s="123"/>
      <c r="G52" s="123"/>
      <c r="H52" s="124"/>
      <c r="I52" s="64"/>
    </row>
    <row r="53" spans="2:9" ht="15.95" customHeight="1" x14ac:dyDescent="0.25">
      <c r="B53" s="64"/>
      <c r="C53" s="64"/>
      <c r="D53" s="64"/>
      <c r="E53" s="64"/>
      <c r="F53" s="139"/>
      <c r="G53" s="139"/>
      <c r="H53" s="139"/>
      <c r="I53" s="64"/>
    </row>
    <row r="54" spans="2:9" ht="15.95" customHeight="1" x14ac:dyDescent="0.25">
      <c r="F54" s="100"/>
      <c r="G54" s="100"/>
      <c r="H54" s="100"/>
    </row>
  </sheetData>
  <mergeCells count="1">
    <mergeCell ref="C14:H14"/>
  </mergeCells>
  <pageMargins left="0.59055118110236227" right="0.59055118110236227" top="0.59055118110236227" bottom="0.59055118110236227" header="0.39370078740157483" footer="0.39370078740157483"/>
  <pageSetup paperSize="9" scale="85" orientation="portrait"/>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47</vt:i4>
      </vt:variant>
    </vt:vector>
  </HeadingPairs>
  <TitlesOfParts>
    <vt:vector size="63" baseType="lpstr">
      <vt:lpstr>Info</vt:lpstr>
      <vt:lpstr>Trial</vt:lpstr>
      <vt:lpstr>Instructions</vt:lpstr>
      <vt:lpstr>Setup</vt:lpstr>
      <vt:lpstr>Groups</vt:lpstr>
      <vt:lpstr>TB</vt:lpstr>
      <vt:lpstr>Customers</vt:lpstr>
      <vt:lpstr>Income</vt:lpstr>
      <vt:lpstr>Invoice</vt:lpstr>
      <vt:lpstr>Statement</vt:lpstr>
      <vt:lpstr>Expenses</vt:lpstr>
      <vt:lpstr>IS</vt:lpstr>
      <vt:lpstr>CFS</vt:lpstr>
      <vt:lpstr>BS</vt:lpstr>
      <vt:lpstr>Bank</vt:lpstr>
      <vt:lpstr>SalesTax</vt:lpstr>
      <vt:lpstr>CustomerCode</vt:lpstr>
      <vt:lpstr>ExpAccount</vt:lpstr>
      <vt:lpstr>ExpBank</vt:lpstr>
      <vt:lpstr>ExpDocDate</vt:lpstr>
      <vt:lpstr>ExpError</vt:lpstr>
      <vt:lpstr>ExpExcl</vt:lpstr>
      <vt:lpstr>ExpIncl</vt:lpstr>
      <vt:lpstr>ExpPayDate</vt:lpstr>
      <vt:lpstr>ExpTax1</vt:lpstr>
      <vt:lpstr>ExpTax2</vt:lpstr>
      <vt:lpstr>ExpTaxCode1</vt:lpstr>
      <vt:lpstr>ExpTaxCode2</vt:lpstr>
      <vt:lpstr>IncAccount</vt:lpstr>
      <vt:lpstr>IncBank</vt:lpstr>
      <vt:lpstr>IncCus</vt:lpstr>
      <vt:lpstr>IncDocDate</vt:lpstr>
      <vt:lpstr>IncError</vt:lpstr>
      <vt:lpstr>IncExcl</vt:lpstr>
      <vt:lpstr>IncIncl</vt:lpstr>
      <vt:lpstr>IncInvoice</vt:lpstr>
      <vt:lpstr>IncPayAmount</vt:lpstr>
      <vt:lpstr>IncPayDate</vt:lpstr>
      <vt:lpstr>IncStatus</vt:lpstr>
      <vt:lpstr>IncTax1</vt:lpstr>
      <vt:lpstr>IncTax2</vt:lpstr>
      <vt:lpstr>IncTaxCode1</vt:lpstr>
      <vt:lpstr>IncTaxCode2</vt:lpstr>
      <vt:lpstr>KeyBS</vt:lpstr>
      <vt:lpstr>KeyIS</vt:lpstr>
      <vt:lpstr>MonthNames</vt:lpstr>
      <vt:lpstr>Months</vt:lpstr>
      <vt:lpstr>BS!Print_Area</vt:lpstr>
      <vt:lpstr>CFS!Print_Area</vt:lpstr>
      <vt:lpstr>Instructions!Print_Area</vt:lpstr>
      <vt:lpstr>Invoice!Print_Area</vt:lpstr>
      <vt:lpstr>IS!Print_Area</vt:lpstr>
      <vt:lpstr>Statement!Print_Area</vt:lpstr>
      <vt:lpstr>TB!Print_Area</vt:lpstr>
      <vt:lpstr>Bank!Print_Titles</vt:lpstr>
      <vt:lpstr>BS!Print_Titles</vt:lpstr>
      <vt:lpstr>CFS!Print_Titles</vt:lpstr>
      <vt:lpstr>Customers!Print_Titles</vt:lpstr>
      <vt:lpstr>Expenses!Print_Titles</vt:lpstr>
      <vt:lpstr>Groups!Print_Titles</vt:lpstr>
      <vt:lpstr>Income!Print_Titles</vt:lpstr>
      <vt:lpstr>Instructions!Print_Titles</vt:lpstr>
      <vt:lpstr>IS!Print_Titles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Service Based Accounting Template - Excel Skills</dc:title>
  <dc:subject>Excel Accounting</dc:subject>
  <dc:creator>Excel Skills International</dc:creator>
  <cp:keywords>accounting template</cp:keywords>
  <cp:lastModifiedBy>Windows User</cp:lastModifiedBy>
  <cp:lastPrinted>2021-01-21T13:00:57Z</cp:lastPrinted>
  <dcterms:created xsi:type="dcterms:W3CDTF">2009-06-23T14:20:26Z</dcterms:created>
  <dcterms:modified xsi:type="dcterms:W3CDTF">2024-02-19T13:09:53Z</dcterms:modified>
  <cp:category>Excel 2007+</cp:category>
  <cp:contentStatus>Version 2.0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31ecc326-cee4-46df-9385-887994d8672f</vt:lpwstr>
  </property>
</Properties>
</file>