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65f9df24078941be" Type="http://schemas.microsoft.com/office/2007/relationships/ui/extensibility" Target="NUL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606ced0e914799" Type="http://schemas.microsoft.com/office/2006/relationships/ui/extensibility" Target="NUL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d.docs.live.net/0d3fdd230e1d24f1/Maisha Co/"/>
    </mc:Choice>
  </mc:AlternateContent>
  <xr:revisionPtr revIDLastSave="37" documentId="13_ncr:1_{BB8FCA2A-0F66-4AC8-AF6B-CE5FA23F11EC}" xr6:coauthVersionLast="47" xr6:coauthVersionMax="47" xr10:uidLastSave="{7440509A-DC9A-4450-8891-B83D9B8EF5DF}"/>
  <bookViews>
    <workbookView xWindow="-120" yWindow="-120" windowWidth="20730" windowHeight="11040" tabRatio="795" firstSheet="1" activeTab="8" xr2:uid="{00000000-000D-0000-FFFF-FFFF00000000}"/>
  </bookViews>
  <sheets>
    <sheet name="Instructions" sheetId="4" state="hidden" r:id="rId1"/>
    <sheet name="Production" sheetId="16" r:id="rId2"/>
    <sheet name="Assumptions" sheetId="2" r:id="rId3"/>
    <sheet name="IncState" sheetId="1" r:id="rId4"/>
    <sheet name="CashFlow" sheetId="11" r:id="rId5"/>
    <sheet name="BalanceSheet" sheetId="6" r:id="rId6"/>
    <sheet name="Loans1" sheetId="7" r:id="rId7"/>
    <sheet name="P&amp;L Monthly" sheetId="19" r:id="rId8"/>
    <sheet name="BS Monthly" sheetId="20" r:id="rId9"/>
    <sheet name="CF Monthly" sheetId="21" r:id="rId10"/>
    <sheet name="P&amp;L Graph" sheetId="17" r:id="rId11"/>
    <sheet name="Net Profit Graph" sheetId="18" r:id="rId12"/>
    <sheet name="Loans2" sheetId="12" state="hidden" r:id="rId13"/>
    <sheet name="Loans3" sheetId="13" state="hidden" r:id="rId14"/>
    <sheet name="Leases" sheetId="14" state="hidden" r:id="rId15"/>
  </sheets>
  <externalReferences>
    <externalReference r:id="rId16"/>
  </externalReferences>
  <definedNames>
    <definedName name="Assume">Assumptions!#REF!</definedName>
    <definedName name="CashFlow">IncState!$B$18:$B$22</definedName>
    <definedName name="EAnchor">Assumptions!#REF!</definedName>
    <definedName name="HeaderRow">ROW('[1]Loan calculator'!$16:$16)</definedName>
    <definedName name="InterestAmt">-IPMT(InterestRate/12,PaymentNumber,NumberOfPayments,LoanAmount)</definedName>
    <definedName name="InterestRate">'P&amp;L Monthly'!$D$6</definedName>
    <definedName name="LastRow">MATCH(9.99E+307,'[1]Loan calculator'!$B:$B)</definedName>
    <definedName name="LoanAmount">'P&amp;L Monthly'!$D$5</definedName>
    <definedName name="LoanIsGood">IF(LoanAmount*InterestRate*LoanYears*LoanStartDate&gt;0,1,0)</definedName>
    <definedName name="LoanIsNotPaid">IF(PaymentNumber&lt;=NumberOfPayments,1,0)</definedName>
    <definedName name="LoanStartDate">'P&amp;L Monthly'!$D$8</definedName>
    <definedName name="LoanYears">'P&amp;L Monthly'!$D$7</definedName>
    <definedName name="NumberOfPayments">'[1]Loan calculator'!$D$12</definedName>
    <definedName name="PaymentNumber">ROW()-HeaderRow</definedName>
    <definedName name="_xlnm.Print_Area" localSheetId="5">BalanceSheet!$B$1:$H$50</definedName>
    <definedName name="_xlnm.Print_Area" localSheetId="4">CashFlow!$B$1:$G$47</definedName>
    <definedName name="_xlnm.Print_Area" localSheetId="3">IncState!$B$1:$G$44</definedName>
    <definedName name="_xlnm.Print_Area" localSheetId="0">Instructions!$A$1:$A$362</definedName>
    <definedName name="_xlnm.Print_Titles" localSheetId="2">Assumptions!$1:$3</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20" l="1"/>
  <c r="E38" i="20"/>
  <c r="F38" i="20"/>
  <c r="G38" i="20"/>
  <c r="H38" i="20"/>
  <c r="I38" i="20"/>
  <c r="J38" i="20"/>
  <c r="K38" i="20"/>
  <c r="L38" i="20"/>
  <c r="M38" i="20"/>
  <c r="N38" i="20"/>
  <c r="C38" i="20"/>
  <c r="D22" i="20"/>
  <c r="E22" i="20"/>
  <c r="E39" i="20" s="1"/>
  <c r="F22" i="20"/>
  <c r="F39" i="20" s="1"/>
  <c r="G22" i="20"/>
  <c r="G39" i="20" s="1"/>
  <c r="H22" i="20"/>
  <c r="I22" i="20"/>
  <c r="I39" i="20" s="1"/>
  <c r="J22" i="20"/>
  <c r="J39" i="20" s="1"/>
  <c r="K22" i="20"/>
  <c r="K39" i="20" s="1"/>
  <c r="L22" i="20"/>
  <c r="M22" i="20"/>
  <c r="M39" i="20" s="1"/>
  <c r="N22" i="20"/>
  <c r="N39" i="20" s="1"/>
  <c r="C22" i="20"/>
  <c r="D15" i="20"/>
  <c r="E15" i="20"/>
  <c r="F15" i="20"/>
  <c r="G15" i="20"/>
  <c r="H15" i="20"/>
  <c r="I15" i="20"/>
  <c r="J15" i="20"/>
  <c r="K15" i="20"/>
  <c r="L15" i="20"/>
  <c r="M15" i="20"/>
  <c r="N15" i="20"/>
  <c r="C15" i="20"/>
  <c r="D16" i="20"/>
  <c r="E16" i="20"/>
  <c r="F16" i="20"/>
  <c r="G16" i="20"/>
  <c r="H16" i="20"/>
  <c r="I16" i="20"/>
  <c r="J16" i="20"/>
  <c r="K16" i="20"/>
  <c r="L16" i="20"/>
  <c r="M16" i="20"/>
  <c r="N16" i="20"/>
  <c r="C16" i="20"/>
  <c r="D39" i="20"/>
  <c r="H39" i="20"/>
  <c r="L39" i="20"/>
  <c r="C39" i="20"/>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E15" i="16"/>
  <c r="E14" i="16"/>
  <c r="E13" i="16"/>
  <c r="E12" i="16"/>
  <c r="D12" i="16"/>
  <c r="D13" i="16"/>
  <c r="D14" i="16"/>
  <c r="D15" i="16"/>
  <c r="D16" i="16"/>
  <c r="E16" i="16"/>
  <c r="C17" i="16" l="1"/>
  <c r="G16" i="16"/>
  <c r="G15" i="16"/>
  <c r="G14" i="16"/>
  <c r="G13" i="16"/>
  <c r="D17" i="16"/>
  <c r="G12" i="16" l="1"/>
  <c r="G17" i="16" s="1"/>
  <c r="E17" i="16"/>
  <c r="C12" i="1" l="1"/>
  <c r="C9" i="1"/>
  <c r="D57" i="2" l="1"/>
  <c r="D66" i="2"/>
  <c r="D72" i="2"/>
  <c r="D65" i="2" l="1"/>
  <c r="D56" i="2"/>
  <c r="D71" i="2"/>
  <c r="A1" i="14" l="1"/>
  <c r="A1" i="13"/>
  <c r="A1" i="12"/>
  <c r="A1" i="7"/>
  <c r="B1" i="6"/>
  <c r="B1" i="11"/>
  <c r="B1" i="1"/>
  <c r="B1" i="2"/>
  <c r="C38" i="6" l="1"/>
  <c r="C79" i="6" s="1"/>
  <c r="H74" i="6"/>
  <c r="G74" i="6"/>
  <c r="F74" i="6"/>
  <c r="E74" i="6"/>
  <c r="D74" i="6"/>
  <c r="C74" i="6"/>
  <c r="D106" i="2"/>
  <c r="D107" i="2" s="1"/>
  <c r="D17" i="1"/>
  <c r="E17" i="1" s="1"/>
  <c r="F17" i="1" s="1"/>
  <c r="G17" i="1" s="1"/>
  <c r="H69" i="6" l="1"/>
  <c r="G69" i="6"/>
  <c r="F69" i="6"/>
  <c r="E69" i="6"/>
  <c r="D69" i="6"/>
  <c r="C69" i="6"/>
  <c r="G4" i="11"/>
  <c r="F4" i="11"/>
  <c r="E4" i="11"/>
  <c r="D4" i="11"/>
  <c r="C4" i="11"/>
  <c r="G4" i="1"/>
  <c r="F4" i="1"/>
  <c r="E4" i="1"/>
  <c r="D4" i="1"/>
  <c r="C4" i="1"/>
  <c r="H4" i="6"/>
  <c r="G4" i="6"/>
  <c r="F4" i="6"/>
  <c r="E4" i="6"/>
  <c r="D4" i="6"/>
  <c r="C4" i="6"/>
  <c r="H57" i="6"/>
  <c r="G57" i="6"/>
  <c r="F57" i="6"/>
  <c r="E57" i="6"/>
  <c r="D57" i="6"/>
  <c r="C57" i="6"/>
  <c r="H55" i="6"/>
  <c r="G55" i="6"/>
  <c r="F55" i="6"/>
  <c r="E55" i="6"/>
  <c r="D55" i="6"/>
  <c r="C55" i="6"/>
  <c r="H53" i="6"/>
  <c r="G53" i="6"/>
  <c r="F53" i="6"/>
  <c r="E53" i="6"/>
  <c r="D53" i="6"/>
  <c r="C53" i="6"/>
  <c r="C66" i="6" l="1"/>
  <c r="C71" i="6"/>
  <c r="C61" i="6"/>
  <c r="E70" i="6"/>
  <c r="E75" i="6"/>
  <c r="E76" i="6"/>
  <c r="F70" i="6"/>
  <c r="F75" i="6"/>
  <c r="F76" i="6"/>
  <c r="C60" i="6"/>
  <c r="C76" i="6"/>
  <c r="C75" i="6"/>
  <c r="G65" i="6"/>
  <c r="G76" i="6"/>
  <c r="G75" i="6"/>
  <c r="D65" i="6"/>
  <c r="D76" i="6"/>
  <c r="D75" i="6"/>
  <c r="H65" i="6"/>
  <c r="H76" i="6"/>
  <c r="H75" i="6"/>
  <c r="D43" i="6"/>
  <c r="H43" i="6"/>
  <c r="G43" i="6"/>
  <c r="F60" i="6"/>
  <c r="E43" i="6"/>
  <c r="F43" i="6"/>
  <c r="E65" i="6"/>
  <c r="C70" i="6"/>
  <c r="E60" i="6"/>
  <c r="F65" i="6"/>
  <c r="G70" i="6"/>
  <c r="G60" i="6"/>
  <c r="C65" i="6"/>
  <c r="D70" i="6"/>
  <c r="H70" i="6"/>
  <c r="D60" i="6"/>
  <c r="H60" i="6"/>
  <c r="G12" i="11"/>
  <c r="F12" i="11"/>
  <c r="E12" i="11"/>
  <c r="D12" i="11"/>
  <c r="C12" i="11"/>
  <c r="G33" i="11"/>
  <c r="F33" i="11"/>
  <c r="E33" i="11"/>
  <c r="D33" i="11"/>
  <c r="C33" i="11"/>
  <c r="G22" i="11"/>
  <c r="F22" i="11"/>
  <c r="E22" i="11"/>
  <c r="D22" i="11"/>
  <c r="C22" i="11"/>
  <c r="G21" i="11"/>
  <c r="F21" i="11"/>
  <c r="E21" i="11"/>
  <c r="D21" i="11"/>
  <c r="C21" i="11"/>
  <c r="G17" i="11"/>
  <c r="F17" i="11"/>
  <c r="E17" i="11"/>
  <c r="D17" i="11"/>
  <c r="C17" i="11"/>
  <c r="G16" i="11"/>
  <c r="F16" i="11"/>
  <c r="E16" i="11"/>
  <c r="D16" i="11"/>
  <c r="C16" i="11"/>
  <c r="G30" i="11"/>
  <c r="F30" i="11"/>
  <c r="E30" i="11"/>
  <c r="D30" i="11"/>
  <c r="C30" i="11"/>
  <c r="G29" i="11"/>
  <c r="F29" i="11"/>
  <c r="E29" i="11"/>
  <c r="D29" i="11"/>
  <c r="C29" i="11"/>
  <c r="G28" i="11"/>
  <c r="F28" i="11"/>
  <c r="E28" i="11"/>
  <c r="D28" i="11"/>
  <c r="C28" i="11"/>
  <c r="C39" i="6"/>
  <c r="C37" i="6"/>
  <c r="C67" i="6" s="1"/>
  <c r="C36" i="6"/>
  <c r="D36" i="6" s="1"/>
  <c r="C35" i="6"/>
  <c r="C34" i="6"/>
  <c r="C63" i="6" s="1"/>
  <c r="C33" i="6"/>
  <c r="C32" i="6"/>
  <c r="C29" i="6"/>
  <c r="C28" i="6"/>
  <c r="C27" i="6"/>
  <c r="C26" i="6"/>
  <c r="C23" i="6"/>
  <c r="C22" i="6"/>
  <c r="C21" i="6"/>
  <c r="C16" i="6"/>
  <c r="C15" i="6"/>
  <c r="C14" i="6"/>
  <c r="C13" i="6"/>
  <c r="C12" i="6"/>
  <c r="C9" i="6"/>
  <c r="C8" i="6"/>
  <c r="C7" i="6"/>
  <c r="H61" i="6" l="1"/>
  <c r="F61" i="6"/>
  <c r="D61" i="6"/>
  <c r="G61" i="6"/>
  <c r="E61" i="6"/>
  <c r="H71" i="6"/>
  <c r="D71" i="6"/>
  <c r="F71" i="6"/>
  <c r="G71" i="6"/>
  <c r="E71" i="6"/>
  <c r="D21" i="6"/>
  <c r="E21" i="6" s="1"/>
  <c r="C45" i="11"/>
  <c r="H66" i="6"/>
  <c r="D66" i="6"/>
  <c r="G66" i="6"/>
  <c r="E66" i="6"/>
  <c r="F66" i="6"/>
  <c r="D22" i="6"/>
  <c r="E22" i="6" s="1"/>
  <c r="F22" i="6" s="1"/>
  <c r="G22" i="6" s="1"/>
  <c r="H22" i="6" s="1"/>
  <c r="D39" i="6"/>
  <c r="E39" i="6" s="1"/>
  <c r="F39" i="6" s="1"/>
  <c r="G39" i="6" s="1"/>
  <c r="H39" i="6" s="1"/>
  <c r="D31" i="11"/>
  <c r="E36" i="6"/>
  <c r="F36" i="6" s="1"/>
  <c r="G36" i="6" s="1"/>
  <c r="H36" i="6" s="1"/>
  <c r="E31" i="11"/>
  <c r="F31" i="11"/>
  <c r="C31" i="11"/>
  <c r="G31" i="11"/>
  <c r="D15" i="6"/>
  <c r="E15" i="6" s="1"/>
  <c r="F15" i="6" s="1"/>
  <c r="G15" i="6" s="1"/>
  <c r="H15" i="6" s="1"/>
  <c r="D14" i="6"/>
  <c r="E14" i="6" s="1"/>
  <c r="F14" i="6" s="1"/>
  <c r="G14" i="6" s="1"/>
  <c r="H14" i="6" s="1"/>
  <c r="C72" i="6"/>
  <c r="C62" i="6"/>
  <c r="D9" i="6"/>
  <c r="E9" i="6" s="1"/>
  <c r="F9" i="6" s="1"/>
  <c r="G9" i="6" s="1"/>
  <c r="H9" i="6" s="1"/>
  <c r="C40" i="6"/>
  <c r="F21" i="6" l="1"/>
  <c r="G21" i="6" l="1"/>
  <c r="H21" i="6" l="1"/>
  <c r="C9" i="14" l="1"/>
  <c r="C9" i="13"/>
  <c r="C9" i="12"/>
  <c r="C9" i="7"/>
  <c r="D94" i="2"/>
  <c r="D93" i="2"/>
  <c r="D92" i="2"/>
  <c r="D91" i="2"/>
  <c r="D80" i="2"/>
  <c r="C24" i="14"/>
  <c r="C23" i="14"/>
  <c r="C22" i="14"/>
  <c r="C21" i="14"/>
  <c r="C20" i="14"/>
  <c r="C19" i="14"/>
  <c r="C18" i="14"/>
  <c r="C17" i="14"/>
  <c r="C16" i="14"/>
  <c r="C15" i="14"/>
  <c r="C24" i="13"/>
  <c r="C23" i="13"/>
  <c r="C22" i="13"/>
  <c r="C21" i="13"/>
  <c r="C20" i="13"/>
  <c r="C19" i="13"/>
  <c r="C18" i="13"/>
  <c r="C17" i="13"/>
  <c r="C16" i="13"/>
  <c r="C15" i="13"/>
  <c r="C24" i="12"/>
  <c r="C23" i="12"/>
  <c r="C22" i="12"/>
  <c r="C21" i="12"/>
  <c r="C20" i="12"/>
  <c r="C19" i="12"/>
  <c r="C18" i="12"/>
  <c r="C17" i="12"/>
  <c r="C16" i="12"/>
  <c r="C15" i="12"/>
  <c r="C24" i="7"/>
  <c r="D83" i="7" s="1"/>
  <c r="C23" i="7"/>
  <c r="C22" i="7"/>
  <c r="C21" i="7"/>
  <c r="C20" i="7"/>
  <c r="C19" i="7"/>
  <c r="C18" i="7"/>
  <c r="C17" i="7"/>
  <c r="C16" i="7"/>
  <c r="C15" i="7"/>
  <c r="G38" i="11"/>
  <c r="C14" i="14" s="1"/>
  <c r="F38" i="11"/>
  <c r="C13" i="14" s="1"/>
  <c r="E38" i="11"/>
  <c r="C12" i="14" s="1"/>
  <c r="D38" i="11"/>
  <c r="C11" i="14" s="1"/>
  <c r="C38" i="11"/>
  <c r="C10" i="14" s="1"/>
  <c r="G37" i="11"/>
  <c r="C14" i="13" s="1"/>
  <c r="F37" i="11"/>
  <c r="C13" i="13" s="1"/>
  <c r="E37" i="11"/>
  <c r="C12" i="13" s="1"/>
  <c r="D37" i="11"/>
  <c r="C11" i="13" s="1"/>
  <c r="C37" i="11"/>
  <c r="C10" i="13" s="1"/>
  <c r="G36" i="11"/>
  <c r="C14" i="12" s="1"/>
  <c r="F36" i="11"/>
  <c r="C13" i="12" s="1"/>
  <c r="E36" i="11"/>
  <c r="C12" i="12" s="1"/>
  <c r="D36" i="11"/>
  <c r="C11" i="12" s="1"/>
  <c r="C36" i="11"/>
  <c r="C10" i="12" s="1"/>
  <c r="G35" i="11"/>
  <c r="C14" i="7" s="1"/>
  <c r="F35" i="11"/>
  <c r="C13" i="7" s="1"/>
  <c r="E35" i="11"/>
  <c r="C12" i="7" s="1"/>
  <c r="D35" i="11"/>
  <c r="C11" i="7" s="1"/>
  <c r="C35" i="11"/>
  <c r="C10" i="7" s="1"/>
  <c r="B6" i="14"/>
  <c r="B5" i="14"/>
  <c r="B4" i="14"/>
  <c r="B6" i="13"/>
  <c r="B5" i="13"/>
  <c r="B4" i="13"/>
  <c r="B6" i="12"/>
  <c r="B5" i="12"/>
  <c r="B4" i="12"/>
  <c r="B6" i="7"/>
  <c r="D70" i="7" l="1"/>
  <c r="D72" i="7"/>
  <c r="D75" i="7"/>
  <c r="D77" i="7"/>
  <c r="D79" i="7"/>
  <c r="D81"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1" i="7"/>
  <c r="D73" i="7"/>
  <c r="D74" i="7"/>
  <c r="D76" i="7"/>
  <c r="D78" i="7"/>
  <c r="D80" i="7"/>
  <c r="D82" i="7"/>
  <c r="G28" i="1"/>
  <c r="F28" i="1"/>
  <c r="E28" i="1"/>
  <c r="D28" i="1"/>
  <c r="G27" i="1"/>
  <c r="F27" i="1"/>
  <c r="E27" i="1"/>
  <c r="D27" i="1"/>
  <c r="D29" i="1" s="1"/>
  <c r="C29" i="1"/>
  <c r="D24" i="1"/>
  <c r="E24" i="1" s="1"/>
  <c r="C25" i="1"/>
  <c r="D21" i="1"/>
  <c r="E21" i="1" s="1"/>
  <c r="F21" i="1" s="1"/>
  <c r="G21" i="1" s="1"/>
  <c r="D20" i="1"/>
  <c r="E20" i="1" s="1"/>
  <c r="F20" i="1" s="1"/>
  <c r="G20" i="1" s="1"/>
  <c r="C22" i="1"/>
  <c r="C7" i="1"/>
  <c r="C11" i="1"/>
  <c r="D6" i="1"/>
  <c r="D5" i="1"/>
  <c r="E5" i="1" s="1"/>
  <c r="E11" i="1" s="1"/>
  <c r="E6" i="1" l="1"/>
  <c r="D12" i="1"/>
  <c r="D9" i="1" s="1"/>
  <c r="E29" i="1"/>
  <c r="F29" i="1"/>
  <c r="G29" i="1"/>
  <c r="C13" i="1"/>
  <c r="C16" i="1" s="1"/>
  <c r="D24" i="14"/>
  <c r="F9" i="14"/>
  <c r="G9" i="14" s="1"/>
  <c r="D24" i="13"/>
  <c r="F9" i="13"/>
  <c r="G9" i="13" s="1"/>
  <c r="F9" i="12"/>
  <c r="G9" i="12" s="1"/>
  <c r="D24" i="12"/>
  <c r="D25" i="1"/>
  <c r="F24" i="1"/>
  <c r="E25" i="1"/>
  <c r="D22" i="1"/>
  <c r="D7" i="1"/>
  <c r="E7" i="1"/>
  <c r="D11" i="1"/>
  <c r="E8" i="1"/>
  <c r="C8" i="1"/>
  <c r="C10" i="1" s="1"/>
  <c r="D54" i="6" s="1"/>
  <c r="F5" i="1"/>
  <c r="F6" i="1" l="1"/>
  <c r="E12" i="1"/>
  <c r="E9" i="1" s="1"/>
  <c r="C30" i="1"/>
  <c r="D12" i="6"/>
  <c r="D47" i="6" s="1"/>
  <c r="B10" i="14"/>
  <c r="B10" i="13"/>
  <c r="B10" i="12"/>
  <c r="G24" i="1"/>
  <c r="G25" i="1" s="1"/>
  <c r="F25" i="1"/>
  <c r="F11" i="1"/>
  <c r="F7" i="1"/>
  <c r="E10" i="1"/>
  <c r="F54" i="6" s="1"/>
  <c r="D8" i="1"/>
  <c r="D10" i="1" s="1"/>
  <c r="E54" i="6" s="1"/>
  <c r="D13" i="1"/>
  <c r="D16" i="1" s="1"/>
  <c r="G5" i="1"/>
  <c r="E13" i="1" l="1"/>
  <c r="E16" i="1" s="1"/>
  <c r="G6" i="1"/>
  <c r="G12" i="1" s="1"/>
  <c r="G9" i="1" s="1"/>
  <c r="F12" i="1"/>
  <c r="F9" i="1" s="1"/>
  <c r="D30" i="1"/>
  <c r="F12" i="6"/>
  <c r="F47" i="6" s="1"/>
  <c r="E12" i="6"/>
  <c r="E47" i="6" s="1"/>
  <c r="F8" i="1"/>
  <c r="F10" i="1" s="1"/>
  <c r="G54" i="6" s="1"/>
  <c r="G11" i="1"/>
  <c r="G13" i="1" s="1"/>
  <c r="F13" i="1" l="1"/>
  <c r="F16" i="1" s="1"/>
  <c r="G7" i="1"/>
  <c r="D14" i="11"/>
  <c r="E14" i="11"/>
  <c r="G12" i="6"/>
  <c r="G47" i="6" s="1"/>
  <c r="G8" i="1"/>
  <c r="G10" i="1" s="1"/>
  <c r="G16" i="1" l="1"/>
  <c r="E62" i="6"/>
  <c r="G56" i="6"/>
  <c r="G62" i="6"/>
  <c r="H56" i="6"/>
  <c r="H13" i="6" s="1"/>
  <c r="F56" i="6"/>
  <c r="E56" i="6"/>
  <c r="F62" i="6"/>
  <c r="H62" i="6"/>
  <c r="D56" i="6"/>
  <c r="D13" i="6" s="1"/>
  <c r="D62" i="6"/>
  <c r="H54" i="6"/>
  <c r="H12" i="6" s="1"/>
  <c r="G14" i="11" s="1"/>
  <c r="F14" i="11"/>
  <c r="F9" i="7"/>
  <c r="C30" i="6"/>
  <c r="H48" i="6" l="1"/>
  <c r="F13" i="6"/>
  <c r="F48" i="6" s="1"/>
  <c r="E13" i="6"/>
  <c r="G13" i="6"/>
  <c r="G15" i="11" s="1"/>
  <c r="D48" i="6"/>
  <c r="H47" i="6"/>
  <c r="C24" i="6"/>
  <c r="C41" i="6" s="1"/>
  <c r="C17" i="6"/>
  <c r="C10" i="6"/>
  <c r="D21" i="13"/>
  <c r="D21" i="14"/>
  <c r="D20" i="14"/>
  <c r="D20" i="13"/>
  <c r="D22" i="13"/>
  <c r="D22" i="14"/>
  <c r="D22" i="12"/>
  <c r="D19" i="14"/>
  <c r="D19" i="13"/>
  <c r="D22" i="7"/>
  <c r="D24" i="7"/>
  <c r="D17" i="7"/>
  <c r="E22" i="1"/>
  <c r="E30" i="1" s="1"/>
  <c r="G9" i="7"/>
  <c r="E10" i="7" s="1"/>
  <c r="C32" i="1" s="1"/>
  <c r="C15" i="11"/>
  <c r="D18" i="7"/>
  <c r="D10" i="7"/>
  <c r="D21" i="7"/>
  <c r="D15" i="7"/>
  <c r="D19" i="7"/>
  <c r="D23" i="7"/>
  <c r="D11" i="7"/>
  <c r="D16" i="7"/>
  <c r="D20" i="7"/>
  <c r="D13" i="7"/>
  <c r="D14" i="7"/>
  <c r="D12" i="7"/>
  <c r="E15" i="11" l="1"/>
  <c r="D15" i="11"/>
  <c r="G48" i="6"/>
  <c r="E48" i="6"/>
  <c r="F15" i="11"/>
  <c r="C18" i="6"/>
  <c r="C42" i="6" s="1"/>
  <c r="D19" i="12"/>
  <c r="D20" i="12"/>
  <c r="D21" i="12"/>
  <c r="D18" i="13"/>
  <c r="D23" i="13"/>
  <c r="D18" i="12"/>
  <c r="D23" i="12"/>
  <c r="D18" i="14"/>
  <c r="D23" i="14"/>
  <c r="D17" i="12"/>
  <c r="D16" i="12"/>
  <c r="D15" i="13"/>
  <c r="D10" i="12"/>
  <c r="D11" i="12"/>
  <c r="D12" i="12"/>
  <c r="D13" i="12"/>
  <c r="D14" i="12"/>
  <c r="E10" i="12"/>
  <c r="D17" i="14"/>
  <c r="D15" i="12"/>
  <c r="D16" i="14"/>
  <c r="D10" i="14"/>
  <c r="D12" i="14"/>
  <c r="D13" i="14"/>
  <c r="D11" i="14"/>
  <c r="D14" i="14"/>
  <c r="E10" i="14"/>
  <c r="D17" i="13"/>
  <c r="D15" i="14"/>
  <c r="D16" i="13"/>
  <c r="D14" i="13"/>
  <c r="D12" i="13"/>
  <c r="D11" i="13"/>
  <c r="D10" i="13"/>
  <c r="D13" i="13"/>
  <c r="E10" i="13"/>
  <c r="B10" i="7"/>
  <c r="F22" i="1"/>
  <c r="F30" i="1" s="1"/>
  <c r="F10" i="7"/>
  <c r="C39" i="11" s="1"/>
  <c r="D26" i="6" l="1"/>
  <c r="F10" i="14"/>
  <c r="C42" i="11" s="1"/>
  <c r="F10" i="12"/>
  <c r="C40" i="11" s="1"/>
  <c r="F10" i="13"/>
  <c r="C41" i="11" s="1"/>
  <c r="G22" i="1"/>
  <c r="G30" i="1" s="1"/>
  <c r="C14" i="11"/>
  <c r="G10" i="7"/>
  <c r="G10" i="14" l="1"/>
  <c r="E11" i="14" s="1"/>
  <c r="G10" i="13"/>
  <c r="B11" i="13" s="1"/>
  <c r="D28" i="6"/>
  <c r="G10" i="12"/>
  <c r="E11" i="12" s="1"/>
  <c r="D27" i="6"/>
  <c r="C33" i="1"/>
  <c r="C42" i="1" s="1"/>
  <c r="E11" i="7"/>
  <c r="B11" i="7"/>
  <c r="D29" i="6" l="1"/>
  <c r="E11" i="13"/>
  <c r="B11" i="14"/>
  <c r="B11" i="12"/>
  <c r="C34" i="1"/>
  <c r="C35" i="1" s="1"/>
  <c r="C7" i="11"/>
  <c r="C24" i="11" s="1"/>
  <c r="F11" i="14"/>
  <c r="D42" i="11" s="1"/>
  <c r="F11" i="12"/>
  <c r="D40" i="11" s="1"/>
  <c r="D32" i="1"/>
  <c r="F11" i="7"/>
  <c r="D39" i="11" s="1"/>
  <c r="D67" i="6" l="1"/>
  <c r="D37" i="6" s="1"/>
  <c r="F11" i="13"/>
  <c r="D41" i="11" s="1"/>
  <c r="E28" i="6" s="1"/>
  <c r="D30" i="6"/>
  <c r="G11" i="14"/>
  <c r="E12" i="14" s="1"/>
  <c r="E29" i="6"/>
  <c r="G11" i="12"/>
  <c r="E12" i="12" s="1"/>
  <c r="E27" i="6"/>
  <c r="E26" i="6"/>
  <c r="C36" i="1"/>
  <c r="C8" i="11"/>
  <c r="D33" i="1"/>
  <c r="D42" i="1" s="1"/>
  <c r="G11" i="7"/>
  <c r="C25" i="11" l="1"/>
  <c r="D77" i="6"/>
  <c r="G11" i="13"/>
  <c r="E12" i="13" s="1"/>
  <c r="B12" i="14"/>
  <c r="B12" i="12"/>
  <c r="D34" i="1"/>
  <c r="D35" i="1" s="1"/>
  <c r="D7" i="11"/>
  <c r="D24" i="11" s="1"/>
  <c r="C39" i="1"/>
  <c r="C6" i="11"/>
  <c r="F12" i="12"/>
  <c r="E40" i="11" s="1"/>
  <c r="F12" i="14"/>
  <c r="E42" i="11" s="1"/>
  <c r="E30" i="6"/>
  <c r="E12" i="7"/>
  <c r="B12" i="7"/>
  <c r="E67" i="6" l="1"/>
  <c r="E37" i="6" s="1"/>
  <c r="D78" i="6"/>
  <c r="D80" i="6" s="1"/>
  <c r="D38" i="6" s="1"/>
  <c r="F12" i="13"/>
  <c r="E41" i="11" s="1"/>
  <c r="F28" i="6" s="1"/>
  <c r="B12" i="13"/>
  <c r="G12" i="14"/>
  <c r="B13" i="14" s="1"/>
  <c r="F29" i="6"/>
  <c r="G12" i="12"/>
  <c r="E13" i="12" s="1"/>
  <c r="F27" i="6"/>
  <c r="D36" i="1"/>
  <c r="E77" i="6" s="1"/>
  <c r="D8" i="11"/>
  <c r="E32" i="1"/>
  <c r="F12" i="7"/>
  <c r="E39" i="11" s="1"/>
  <c r="D25" i="11" l="1"/>
  <c r="D79" i="6"/>
  <c r="C37" i="1" s="1"/>
  <c r="C38" i="1" s="1"/>
  <c r="D23" i="6" s="1"/>
  <c r="D24" i="6" s="1"/>
  <c r="G12" i="13"/>
  <c r="E13" i="13" s="1"/>
  <c r="E78" i="6"/>
  <c r="E80" i="6" s="1"/>
  <c r="E38" i="6" s="1"/>
  <c r="D6" i="11"/>
  <c r="E13" i="14"/>
  <c r="D39" i="1"/>
  <c r="B13" i="12"/>
  <c r="F13" i="12"/>
  <c r="F40" i="11" s="1"/>
  <c r="E33" i="1"/>
  <c r="E42" i="1" s="1"/>
  <c r="G12" i="7"/>
  <c r="C43" i="1" l="1"/>
  <c r="D50" i="6"/>
  <c r="C34" i="11"/>
  <c r="C43" i="11" s="1"/>
  <c r="E79" i="6"/>
  <c r="D37" i="1" s="1"/>
  <c r="D38" i="1" s="1"/>
  <c r="E23" i="6" s="1"/>
  <c r="E24" i="6" s="1"/>
  <c r="F13" i="13"/>
  <c r="F41" i="11" s="1"/>
  <c r="G28" i="6" s="1"/>
  <c r="B13" i="13"/>
  <c r="F13" i="14"/>
  <c r="F26" i="6"/>
  <c r="F30" i="6" s="1"/>
  <c r="G13" i="12"/>
  <c r="B14" i="12" s="1"/>
  <c r="G27" i="6"/>
  <c r="E34" i="1"/>
  <c r="E35" i="1" s="1"/>
  <c r="F67" i="6" s="1"/>
  <c r="F37" i="6" s="1"/>
  <c r="E7" i="11"/>
  <c r="E24" i="11" s="1"/>
  <c r="E13" i="7"/>
  <c r="B13" i="7"/>
  <c r="D34" i="11" l="1"/>
  <c r="D43" i="11" s="1"/>
  <c r="G13" i="13"/>
  <c r="E14" i="13" s="1"/>
  <c r="D43" i="1"/>
  <c r="E50" i="6"/>
  <c r="G13" i="14"/>
  <c r="B14" i="14" s="1"/>
  <c r="F42" i="11"/>
  <c r="G29" i="6" s="1"/>
  <c r="E14" i="12"/>
  <c r="F14" i="12" s="1"/>
  <c r="G40" i="11" s="1"/>
  <c r="E36" i="1"/>
  <c r="F77" i="6" s="1"/>
  <c r="E8" i="11"/>
  <c r="E25" i="11" s="1"/>
  <c r="F32" i="1"/>
  <c r="F13" i="7"/>
  <c r="F39" i="11" s="1"/>
  <c r="F14" i="13" l="1"/>
  <c r="G41" i="11" s="1"/>
  <c r="H28" i="6" s="1"/>
  <c r="B14" i="13"/>
  <c r="F78" i="6"/>
  <c r="F80" i="6" s="1"/>
  <c r="F38" i="6" s="1"/>
  <c r="E14" i="14"/>
  <c r="E39" i="1"/>
  <c r="G14" i="12"/>
  <c r="B15" i="12" s="1"/>
  <c r="H27" i="6"/>
  <c r="E6" i="11"/>
  <c r="F33" i="1"/>
  <c r="F42" i="1" s="1"/>
  <c r="G13" i="7"/>
  <c r="G14" i="13" l="1"/>
  <c r="B15" i="13" s="1"/>
  <c r="F79" i="6"/>
  <c r="E37" i="1" s="1"/>
  <c r="E38" i="1" s="1"/>
  <c r="F23" i="6" s="1"/>
  <c r="F24" i="6" s="1"/>
  <c r="E43" i="1" s="1"/>
  <c r="F14" i="14"/>
  <c r="G26" i="6"/>
  <c r="E15" i="12"/>
  <c r="F15" i="12" s="1"/>
  <c r="G15" i="12" s="1"/>
  <c r="B16" i="12" s="1"/>
  <c r="F34" i="1"/>
  <c r="F35" i="1" s="1"/>
  <c r="G67" i="6" s="1"/>
  <c r="G37" i="6" s="1"/>
  <c r="F7" i="11"/>
  <c r="F24" i="11" s="1"/>
  <c r="E14" i="7"/>
  <c r="B14" i="7"/>
  <c r="E15" i="13" l="1"/>
  <c r="F15" i="13" s="1"/>
  <c r="G15" i="13" s="1"/>
  <c r="B16" i="13" s="1"/>
  <c r="F50" i="6"/>
  <c r="E34" i="11"/>
  <c r="E43" i="11" s="1"/>
  <c r="G42" i="11"/>
  <c r="H29" i="6" s="1"/>
  <c r="G14" i="14"/>
  <c r="F8" i="11"/>
  <c r="F25" i="11" s="1"/>
  <c r="G30" i="6"/>
  <c r="F36" i="1"/>
  <c r="G77" i="6" s="1"/>
  <c r="E16" i="12"/>
  <c r="F16" i="12" s="1"/>
  <c r="G16" i="12" s="1"/>
  <c r="B17" i="12" s="1"/>
  <c r="G32" i="1"/>
  <c r="G33" i="1" s="1"/>
  <c r="G42" i="1" s="1"/>
  <c r="F14" i="7"/>
  <c r="G39" i="11" s="1"/>
  <c r="E16" i="13" l="1"/>
  <c r="F16" i="13" s="1"/>
  <c r="G16" i="13" s="1"/>
  <c r="E17" i="13" s="1"/>
  <c r="F17" i="13" s="1"/>
  <c r="G78" i="6"/>
  <c r="G80" i="6" s="1"/>
  <c r="G38" i="6" s="1"/>
  <c r="B15" i="14"/>
  <c r="E15" i="14"/>
  <c r="F15" i="14" s="1"/>
  <c r="G34" i="1"/>
  <c r="G35" i="1" s="1"/>
  <c r="G7" i="11"/>
  <c r="G24" i="11" s="1"/>
  <c r="F6" i="11"/>
  <c r="F39" i="1"/>
  <c r="E17" i="12"/>
  <c r="F17" i="12" s="1"/>
  <c r="G17" i="12" s="1"/>
  <c r="E18" i="12" s="1"/>
  <c r="F18" i="12" s="1"/>
  <c r="G14" i="7"/>
  <c r="H67" i="6" l="1"/>
  <c r="H37" i="6" s="1"/>
  <c r="B17" i="13"/>
  <c r="G17" i="13" s="1"/>
  <c r="B18" i="13" s="1"/>
  <c r="G79" i="6"/>
  <c r="F37" i="1" s="1"/>
  <c r="F38" i="1" s="1"/>
  <c r="G23" i="6" s="1"/>
  <c r="G24" i="6" s="1"/>
  <c r="G15" i="14"/>
  <c r="B16" i="14" s="1"/>
  <c r="H26" i="6"/>
  <c r="H30" i="6" s="1"/>
  <c r="G36" i="1"/>
  <c r="H77" i="6" s="1"/>
  <c r="H78" i="6" s="1"/>
  <c r="H80" i="6" s="1"/>
  <c r="H38" i="6" s="1"/>
  <c r="G8" i="11"/>
  <c r="B18" i="12"/>
  <c r="G18" i="12" s="1"/>
  <c r="E19" i="12" s="1"/>
  <c r="F19" i="12" s="1"/>
  <c r="E15" i="7"/>
  <c r="F15" i="7" s="1"/>
  <c r="B15" i="7"/>
  <c r="G25" i="11" l="1"/>
  <c r="E18" i="13"/>
  <c r="F18" i="13" s="1"/>
  <c r="G18" i="13" s="1"/>
  <c r="E19" i="13" s="1"/>
  <c r="F19" i="13" s="1"/>
  <c r="F34" i="11"/>
  <c r="F43" i="11" s="1"/>
  <c r="H79" i="6"/>
  <c r="G37" i="1" s="1"/>
  <c r="G34" i="11" s="1"/>
  <c r="G43" i="11" s="1"/>
  <c r="H63" i="6"/>
  <c r="H34" i="6" s="1"/>
  <c r="G63" i="6"/>
  <c r="G34" i="6" s="1"/>
  <c r="H58" i="6"/>
  <c r="H33" i="6" s="1"/>
  <c r="G58" i="6"/>
  <c r="G72" i="6"/>
  <c r="G35" i="6" s="1"/>
  <c r="H72" i="6"/>
  <c r="H35" i="6" s="1"/>
  <c r="F43" i="1"/>
  <c r="G50" i="6"/>
  <c r="E16" i="14"/>
  <c r="F16" i="14" s="1"/>
  <c r="G16" i="14" s="1"/>
  <c r="B17" i="14" s="1"/>
  <c r="D72" i="6"/>
  <c r="D35" i="6" s="1"/>
  <c r="F72" i="6"/>
  <c r="F35" i="6" s="1"/>
  <c r="E72" i="6"/>
  <c r="E35" i="6" s="1"/>
  <c r="D63" i="6"/>
  <c r="D34" i="6" s="1"/>
  <c r="F63" i="6"/>
  <c r="F34" i="6" s="1"/>
  <c r="E63" i="6"/>
  <c r="E34" i="6" s="1"/>
  <c r="D58" i="6"/>
  <c r="F58" i="6"/>
  <c r="E58" i="6"/>
  <c r="B19" i="12"/>
  <c r="G19" i="12" s="1"/>
  <c r="E20" i="12" s="1"/>
  <c r="F20" i="12" s="1"/>
  <c r="G15" i="7"/>
  <c r="E16" i="7" s="1"/>
  <c r="F16" i="7" s="1"/>
  <c r="G39" i="1"/>
  <c r="G6" i="11"/>
  <c r="B19" i="13" l="1"/>
  <c r="G19" i="13" s="1"/>
  <c r="E20" i="13" s="1"/>
  <c r="F20" i="13" s="1"/>
  <c r="G38" i="1"/>
  <c r="H23" i="6" s="1"/>
  <c r="H24" i="6" s="1"/>
  <c r="G19" i="11"/>
  <c r="G20" i="11"/>
  <c r="G33" i="6"/>
  <c r="G18" i="11" s="1"/>
  <c r="H49" i="6"/>
  <c r="E33" i="6"/>
  <c r="E49" i="6" s="1"/>
  <c r="F33" i="6"/>
  <c r="F49" i="6" s="1"/>
  <c r="D33" i="6"/>
  <c r="D49" i="6" s="1"/>
  <c r="E17" i="14"/>
  <c r="F17" i="14" s="1"/>
  <c r="G17" i="14" s="1"/>
  <c r="E20" i="11"/>
  <c r="F20" i="11"/>
  <c r="D20" i="11"/>
  <c r="C20" i="11"/>
  <c r="F19" i="11"/>
  <c r="E19" i="11"/>
  <c r="D19" i="11"/>
  <c r="C19" i="11"/>
  <c r="B20" i="12"/>
  <c r="G20" i="12" s="1"/>
  <c r="B16" i="7"/>
  <c r="G16" i="7" s="1"/>
  <c r="E17" i="7" s="1"/>
  <c r="F17" i="7" s="1"/>
  <c r="E10" i="11" l="1"/>
  <c r="D10" i="11"/>
  <c r="F11" i="11"/>
  <c r="G11" i="11"/>
  <c r="D11" i="11"/>
  <c r="C11" i="11"/>
  <c r="D8" i="6" s="1"/>
  <c r="C10" i="11"/>
  <c r="D7" i="6" s="1"/>
  <c r="G10" i="11"/>
  <c r="E11" i="11"/>
  <c r="F10" i="11"/>
  <c r="B20" i="13"/>
  <c r="G20" i="13" s="1"/>
  <c r="B21" i="13" s="1"/>
  <c r="F18" i="11"/>
  <c r="G49" i="6"/>
  <c r="E18" i="11"/>
  <c r="C18" i="11"/>
  <c r="D18" i="11"/>
  <c r="G43" i="1"/>
  <c r="H50" i="6"/>
  <c r="E18" i="14"/>
  <c r="F18" i="14" s="1"/>
  <c r="B18" i="14"/>
  <c r="E21" i="12"/>
  <c r="F21" i="12" s="1"/>
  <c r="B21" i="12"/>
  <c r="B17" i="7"/>
  <c r="G17" i="7" s="1"/>
  <c r="G23" i="11" l="1"/>
  <c r="G26" i="11" s="1"/>
  <c r="G44" i="11" s="1"/>
  <c r="E7" i="6"/>
  <c r="F7" i="6" s="1"/>
  <c r="E8" i="6"/>
  <c r="F8" i="6" s="1"/>
  <c r="G8" i="6" s="1"/>
  <c r="H8" i="6" s="1"/>
  <c r="D23" i="11"/>
  <c r="D26" i="11" s="1"/>
  <c r="D44" i="11" s="1"/>
  <c r="D10" i="6"/>
  <c r="C23" i="11"/>
  <c r="C26" i="11" s="1"/>
  <c r="C44" i="11" s="1"/>
  <c r="C46" i="11" s="1"/>
  <c r="F23" i="11"/>
  <c r="F26" i="11" s="1"/>
  <c r="F44" i="11" s="1"/>
  <c r="E23" i="11"/>
  <c r="E26" i="11" s="1"/>
  <c r="E44" i="11" s="1"/>
  <c r="E21" i="13"/>
  <c r="F21" i="13" s="1"/>
  <c r="G21" i="13" s="1"/>
  <c r="E22" i="13" s="1"/>
  <c r="F22" i="13" s="1"/>
  <c r="G18" i="14"/>
  <c r="B19" i="14" s="1"/>
  <c r="G21" i="12"/>
  <c r="B22" i="12" s="1"/>
  <c r="B18" i="7"/>
  <c r="E18" i="7"/>
  <c r="F18" i="7" s="1"/>
  <c r="D32" i="6" l="1"/>
  <c r="D40" i="6" s="1"/>
  <c r="D41" i="6" s="1"/>
  <c r="E10" i="6"/>
  <c r="D16" i="6"/>
  <c r="E19" i="14"/>
  <c r="F19" i="14" s="1"/>
  <c r="G19" i="14" s="1"/>
  <c r="E20" i="14" s="1"/>
  <c r="F20" i="14" s="1"/>
  <c r="G7" i="6"/>
  <c r="F10" i="6"/>
  <c r="B22" i="13"/>
  <c r="G22" i="13" s="1"/>
  <c r="B23" i="13" s="1"/>
  <c r="E22" i="12"/>
  <c r="F22" i="12" s="1"/>
  <c r="G22" i="12" s="1"/>
  <c r="G18" i="7"/>
  <c r="B19" i="7" s="1"/>
  <c r="D45" i="11" l="1"/>
  <c r="D46" i="11" s="1"/>
  <c r="D17" i="6"/>
  <c r="D46" i="6" s="1"/>
  <c r="B20" i="14"/>
  <c r="G20" i="14" s="1"/>
  <c r="B21" i="14" s="1"/>
  <c r="H7" i="6"/>
  <c r="H10" i="6" s="1"/>
  <c r="G10" i="6"/>
  <c r="E23" i="13"/>
  <c r="F23" i="13" s="1"/>
  <c r="G23" i="13" s="1"/>
  <c r="B24" i="13" s="1"/>
  <c r="B23" i="12"/>
  <c r="E23" i="12"/>
  <c r="F23" i="12" s="1"/>
  <c r="E19" i="7"/>
  <c r="F19" i="7" s="1"/>
  <c r="G19" i="7" s="1"/>
  <c r="B20" i="7" s="1"/>
  <c r="E32" i="6" l="1"/>
  <c r="E40" i="6" s="1"/>
  <c r="E41" i="6" s="1"/>
  <c r="E16" i="6"/>
  <c r="D45" i="6"/>
  <c r="D18" i="6"/>
  <c r="D42" i="6" s="1"/>
  <c r="E21" i="14"/>
  <c r="F21" i="14" s="1"/>
  <c r="G21" i="14" s="1"/>
  <c r="B22" i="14" s="1"/>
  <c r="E24" i="13"/>
  <c r="F24" i="13" s="1"/>
  <c r="G24" i="13" s="1"/>
  <c r="G23" i="12"/>
  <c r="E24" i="12" s="1"/>
  <c r="F24" i="12" s="1"/>
  <c r="E20" i="7"/>
  <c r="F20" i="7" s="1"/>
  <c r="G20" i="7" s="1"/>
  <c r="B21" i="7" s="1"/>
  <c r="E17" i="6" l="1"/>
  <c r="E45" i="11"/>
  <c r="E46" i="11" s="1"/>
  <c r="C44" i="1"/>
  <c r="E22" i="14"/>
  <c r="F22" i="14" s="1"/>
  <c r="G22" i="14" s="1"/>
  <c r="B23" i="14" s="1"/>
  <c r="B24" i="12"/>
  <c r="G24" i="12" s="1"/>
  <c r="E21" i="7"/>
  <c r="F21" i="7" s="1"/>
  <c r="G21" i="7" s="1"/>
  <c r="B22" i="7" s="1"/>
  <c r="F32" i="6" l="1"/>
  <c r="F40" i="6" s="1"/>
  <c r="F41" i="6" s="1"/>
  <c r="F16" i="6"/>
  <c r="E18" i="6"/>
  <c r="E46" i="6"/>
  <c r="E45" i="6"/>
  <c r="E23" i="14"/>
  <c r="F23" i="14" s="1"/>
  <c r="G23" i="14" s="1"/>
  <c r="B24" i="14" s="1"/>
  <c r="E22" i="7"/>
  <c r="F22" i="7" s="1"/>
  <c r="G22" i="7" s="1"/>
  <c r="F45" i="11" l="1"/>
  <c r="F46" i="11" s="1"/>
  <c r="G16" i="6" s="1"/>
  <c r="F17" i="6"/>
  <c r="F45" i="6" s="1"/>
  <c r="D44" i="1"/>
  <c r="E42" i="6"/>
  <c r="E24" i="14"/>
  <c r="F24" i="14" s="1"/>
  <c r="G24" i="14" s="1"/>
  <c r="E23" i="7"/>
  <c r="F23" i="7" s="1"/>
  <c r="B23" i="7"/>
  <c r="F18" i="6" l="1"/>
  <c r="E44" i="1" s="1"/>
  <c r="G32" i="6"/>
  <c r="G40" i="6" s="1"/>
  <c r="G41" i="6" s="1"/>
  <c r="F46" i="6"/>
  <c r="G17" i="6"/>
  <c r="G18" i="6" s="1"/>
  <c r="G23" i="7"/>
  <c r="B24" i="7" s="1"/>
  <c r="G45" i="11" l="1"/>
  <c r="G46" i="11" s="1"/>
  <c r="H32" i="6" s="1"/>
  <c r="H40" i="6" s="1"/>
  <c r="H41" i="6" s="1"/>
  <c r="F44" i="1"/>
  <c r="F42" i="6"/>
  <c r="G45" i="6"/>
  <c r="G42" i="6"/>
  <c r="G46" i="6"/>
  <c r="E24" i="7"/>
  <c r="F24" i="7" s="1"/>
  <c r="G24" i="7" s="1"/>
  <c r="H16" i="6" l="1"/>
  <c r="H17" i="6" s="1"/>
  <c r="H18" i="6" s="1"/>
  <c r="G44" i="1" s="1"/>
  <c r="B25" i="7"/>
  <c r="E25" i="7"/>
  <c r="F25" i="7" s="1"/>
  <c r="H42" i="6" l="1"/>
  <c r="H45" i="6"/>
  <c r="H46" i="6"/>
  <c r="G25" i="7"/>
  <c r="B26" i="7" s="1"/>
  <c r="E26" i="7" l="1"/>
  <c r="F26" i="7" s="1"/>
  <c r="G26" i="7" s="1"/>
  <c r="B27" i="7" s="1"/>
  <c r="E27" i="7" l="1"/>
  <c r="F27" i="7" s="1"/>
  <c r="G27" i="7" s="1"/>
  <c r="B28" i="7" l="1"/>
  <c r="E28" i="7"/>
  <c r="F28" i="7" s="1"/>
  <c r="G28" i="7" l="1"/>
  <c r="B29" i="7" s="1"/>
  <c r="E29" i="7" l="1"/>
  <c r="F29" i="7" s="1"/>
  <c r="G29" i="7" s="1"/>
  <c r="B30" i="7" s="1"/>
  <c r="E30" i="7" l="1"/>
  <c r="F30" i="7" s="1"/>
  <c r="G30" i="7" s="1"/>
  <c r="B31" i="7" s="1"/>
  <c r="E31" i="7" l="1"/>
  <c r="F31" i="7" s="1"/>
  <c r="G31" i="7" s="1"/>
  <c r="B32" i="7" s="1"/>
  <c r="E32" i="7" l="1"/>
  <c r="F32" i="7" s="1"/>
  <c r="G32" i="7" s="1"/>
  <c r="B33" i="7" s="1"/>
  <c r="E33" i="7" l="1"/>
  <c r="F33" i="7" s="1"/>
  <c r="G33" i="7" s="1"/>
  <c r="B34" i="7" s="1"/>
  <c r="E34" i="7" l="1"/>
  <c r="F34" i="7" s="1"/>
  <c r="G34" i="7" s="1"/>
  <c r="B35" i="7" s="1"/>
  <c r="E35" i="7" l="1"/>
  <c r="F35" i="7" s="1"/>
  <c r="G35" i="7" s="1"/>
  <c r="B36" i="7" s="1"/>
  <c r="E36" i="7" l="1"/>
  <c r="F36" i="7" s="1"/>
  <c r="G36" i="7" s="1"/>
  <c r="B37" i="7" s="1"/>
  <c r="E37" i="7" l="1"/>
  <c r="F37" i="7" s="1"/>
  <c r="G37" i="7" s="1"/>
  <c r="B38" i="7" s="1"/>
  <c r="E38" i="7" l="1"/>
  <c r="F38" i="7" s="1"/>
  <c r="G38" i="7" s="1"/>
  <c r="B39" i="7" s="1"/>
  <c r="E39" i="7" l="1"/>
  <c r="F39" i="7" s="1"/>
  <c r="G39" i="7" s="1"/>
  <c r="B40" i="7" s="1"/>
  <c r="E40" i="7" l="1"/>
  <c r="F40" i="7" s="1"/>
  <c r="G40" i="7" s="1"/>
  <c r="B41" i="7" s="1"/>
  <c r="E41" i="7" l="1"/>
  <c r="F41" i="7" s="1"/>
  <c r="G41" i="7" s="1"/>
  <c r="B42" i="7" s="1"/>
  <c r="E42" i="7" l="1"/>
  <c r="F42" i="7" s="1"/>
  <c r="G42" i="7" s="1"/>
  <c r="B43" i="7" s="1"/>
  <c r="E43" i="7" l="1"/>
  <c r="F43" i="7" s="1"/>
  <c r="G43" i="7" s="1"/>
  <c r="B44" i="7" s="1"/>
  <c r="E44" i="7" l="1"/>
  <c r="F44" i="7" s="1"/>
  <c r="G44" i="7" s="1"/>
  <c r="B45" i="7" s="1"/>
  <c r="E45" i="7" l="1"/>
  <c r="F45" i="7" s="1"/>
  <c r="G45" i="7" s="1"/>
  <c r="B46" i="7" s="1"/>
  <c r="E46" i="7" l="1"/>
  <c r="F46" i="7" s="1"/>
  <c r="G46" i="7" s="1"/>
  <c r="B47" i="7" s="1"/>
  <c r="E47" i="7" l="1"/>
  <c r="F47" i="7" s="1"/>
  <c r="G47" i="7" s="1"/>
  <c r="B48" i="7" s="1"/>
  <c r="E48" i="7" l="1"/>
  <c r="F48" i="7" s="1"/>
  <c r="G48" i="7" s="1"/>
  <c r="B49" i="7" s="1"/>
  <c r="E49" i="7" l="1"/>
  <c r="F49" i="7" s="1"/>
  <c r="G49" i="7" s="1"/>
  <c r="B50" i="7" s="1"/>
  <c r="E50" i="7" l="1"/>
  <c r="F50" i="7" s="1"/>
  <c r="G50" i="7" s="1"/>
  <c r="B51" i="7" s="1"/>
  <c r="E51" i="7" l="1"/>
  <c r="F51" i="7" s="1"/>
  <c r="G51" i="7" s="1"/>
  <c r="B52" i="7" s="1"/>
  <c r="E52" i="7" l="1"/>
  <c r="F52" i="7" s="1"/>
  <c r="G52" i="7" s="1"/>
  <c r="B53" i="7" s="1"/>
  <c r="E53" i="7" l="1"/>
  <c r="F53" i="7" s="1"/>
  <c r="G53" i="7" s="1"/>
  <c r="E54" i="7" s="1"/>
  <c r="F54" i="7" s="1"/>
  <c r="B54" i="7" l="1"/>
  <c r="G54" i="7" s="1"/>
  <c r="E55" i="7" l="1"/>
  <c r="F55" i="7" s="1"/>
  <c r="B55" i="7"/>
  <c r="G55" i="7" l="1"/>
  <c r="E56" i="7" s="1"/>
  <c r="F56" i="7" s="1"/>
  <c r="B56" i="7" l="1"/>
  <c r="G56" i="7" s="1"/>
  <c r="E57" i="7" l="1"/>
  <c r="F57" i="7" s="1"/>
  <c r="B57" i="7"/>
  <c r="G57" i="7" l="1"/>
  <c r="E58" i="7" l="1"/>
  <c r="F58" i="7" s="1"/>
  <c r="B58" i="7"/>
  <c r="G58" i="7" l="1"/>
  <c r="E59" i="7" l="1"/>
  <c r="F59" i="7" s="1"/>
  <c r="B59" i="7"/>
  <c r="G59" i="7" l="1"/>
  <c r="E60" i="7" l="1"/>
  <c r="F60" i="7" s="1"/>
  <c r="B60" i="7"/>
  <c r="G60" i="7" l="1"/>
  <c r="E61" i="7" l="1"/>
  <c r="F61" i="7" s="1"/>
  <c r="B61" i="7"/>
  <c r="G61" i="7" l="1"/>
  <c r="E62" i="7" l="1"/>
  <c r="F62" i="7" s="1"/>
  <c r="B62" i="7"/>
  <c r="G62" i="7" l="1"/>
  <c r="E63" i="7" l="1"/>
  <c r="F63" i="7" s="1"/>
  <c r="B63" i="7"/>
  <c r="G63" i="7" l="1"/>
  <c r="E64" i="7" l="1"/>
  <c r="F64" i="7" s="1"/>
  <c r="B64" i="7"/>
  <c r="G64" i="7" l="1"/>
  <c r="E65" i="7" l="1"/>
  <c r="F65" i="7" s="1"/>
  <c r="B65" i="7"/>
  <c r="G65" i="7" l="1"/>
  <c r="E66" i="7" l="1"/>
  <c r="F66" i="7" s="1"/>
  <c r="B66" i="7"/>
  <c r="G66" i="7" l="1"/>
  <c r="E67" i="7" l="1"/>
  <c r="F67" i="7" s="1"/>
  <c r="B67" i="7"/>
  <c r="G67" i="7" l="1"/>
  <c r="E68" i="7" l="1"/>
  <c r="F68" i="7" s="1"/>
  <c r="B68" i="7"/>
  <c r="G68" i="7" l="1"/>
  <c r="E69" i="7" l="1"/>
  <c r="F69" i="7" s="1"/>
  <c r="B69" i="7"/>
  <c r="G69" i="7" l="1"/>
  <c r="E70" i="7" l="1"/>
  <c r="F70" i="7" s="1"/>
  <c r="B70" i="7"/>
  <c r="G70" i="7" l="1"/>
  <c r="E71" i="7" l="1"/>
  <c r="F71" i="7" s="1"/>
  <c r="B71" i="7"/>
  <c r="G71" i="7" l="1"/>
  <c r="E72" i="7" l="1"/>
  <c r="F72" i="7" s="1"/>
  <c r="B72" i="7"/>
  <c r="G72" i="7" l="1"/>
  <c r="E73" i="7" l="1"/>
  <c r="F73" i="7" s="1"/>
  <c r="B73" i="7"/>
  <c r="G73" i="7" l="1"/>
  <c r="E74" i="7" l="1"/>
  <c r="F74" i="7" s="1"/>
  <c r="B74" i="7"/>
  <c r="G74" i="7" l="1"/>
  <c r="E75" i="7" l="1"/>
  <c r="F75" i="7" s="1"/>
  <c r="B75" i="7"/>
  <c r="G75" i="7" l="1"/>
  <c r="E76" i="7" l="1"/>
  <c r="F76" i="7" s="1"/>
  <c r="B76" i="7"/>
  <c r="G76" i="7" l="1"/>
  <c r="E77" i="7" l="1"/>
  <c r="F77" i="7" s="1"/>
  <c r="B77" i="7"/>
  <c r="G77" i="7" l="1"/>
  <c r="E78" i="7" l="1"/>
  <c r="F78" i="7" s="1"/>
  <c r="B78" i="7"/>
  <c r="G78" i="7" l="1"/>
  <c r="E79" i="7" l="1"/>
  <c r="F79" i="7" s="1"/>
  <c r="B79" i="7"/>
  <c r="G79" i="7" l="1"/>
  <c r="E80" i="7" l="1"/>
  <c r="F80" i="7" s="1"/>
  <c r="B80" i="7"/>
  <c r="G80" i="7" l="1"/>
  <c r="E81" i="7" l="1"/>
  <c r="F81" i="7" s="1"/>
  <c r="B81" i="7"/>
  <c r="G81" i="7" l="1"/>
  <c r="E82" i="7" l="1"/>
  <c r="F82" i="7" s="1"/>
  <c r="B82" i="7"/>
  <c r="G82" i="7" l="1"/>
  <c r="E83" i="7" l="1"/>
  <c r="F83" i="7" s="1"/>
  <c r="B83" i="7"/>
  <c r="G83" i="7" l="1"/>
  <c r="E84" i="7" l="1"/>
  <c r="F84" i="7" s="1"/>
  <c r="B84" i="7"/>
  <c r="G84" i="7" l="1"/>
  <c r="E85" i="7" l="1"/>
  <c r="F85" i="7" s="1"/>
  <c r="B85" i="7"/>
  <c r="G85" i="7" l="1"/>
  <c r="E86" i="7" l="1"/>
  <c r="F86" i="7" s="1"/>
  <c r="B86" i="7"/>
  <c r="G86" i="7" l="1"/>
  <c r="E87" i="7" l="1"/>
  <c r="F87" i="7" s="1"/>
  <c r="B87" i="7"/>
  <c r="G87" i="7" l="1"/>
  <c r="E88" i="7" l="1"/>
  <c r="F88" i="7" s="1"/>
  <c r="B88" i="7"/>
  <c r="G88" i="7" l="1"/>
  <c r="E89" i="7" l="1"/>
  <c r="F89" i="7" s="1"/>
  <c r="B89" i="7"/>
  <c r="G89" i="7" l="1"/>
  <c r="E90" i="7" l="1"/>
  <c r="F90" i="7" s="1"/>
  <c r="B90" i="7"/>
  <c r="G90" i="7" l="1"/>
  <c r="E91" i="7" l="1"/>
  <c r="F91" i="7" s="1"/>
  <c r="B91" i="7"/>
  <c r="G91" i="7" l="1"/>
  <c r="E92" i="7" l="1"/>
  <c r="F92" i="7" s="1"/>
  <c r="B92" i="7"/>
  <c r="G92" i="7" l="1"/>
  <c r="E93" i="7" l="1"/>
  <c r="F93" i="7" s="1"/>
  <c r="B93" i="7"/>
  <c r="G93" i="7" l="1"/>
  <c r="E94" i="7" l="1"/>
  <c r="F94" i="7" s="1"/>
  <c r="B94" i="7"/>
  <c r="G94" i="7" l="1"/>
  <c r="E95" i="7" l="1"/>
  <c r="F95" i="7" s="1"/>
  <c r="B95" i="7"/>
  <c r="G95" i="7" l="1"/>
  <c r="E96" i="7" l="1"/>
  <c r="F96" i="7" s="1"/>
  <c r="B96" i="7"/>
  <c r="G96" i="7" l="1"/>
  <c r="E97" i="7" l="1"/>
  <c r="F97" i="7" s="1"/>
  <c r="B97" i="7"/>
  <c r="G97" i="7" l="1"/>
  <c r="E98" i="7" l="1"/>
  <c r="F98" i="7" s="1"/>
  <c r="B98" i="7"/>
  <c r="G98" i="7" l="1"/>
  <c r="E99" i="7" l="1"/>
  <c r="F99" i="7" s="1"/>
  <c r="B99" i="7"/>
  <c r="G99" i="7" l="1"/>
  <c r="E100" i="7" l="1"/>
  <c r="F100" i="7" s="1"/>
  <c r="B100" i="7"/>
  <c r="G100" i="7" l="1"/>
  <c r="E101" i="7" l="1"/>
  <c r="F101" i="7" s="1"/>
  <c r="B101" i="7"/>
  <c r="G101" i="7" l="1"/>
  <c r="E102" i="7" l="1"/>
  <c r="F102" i="7" s="1"/>
  <c r="B102" i="7"/>
  <c r="G102" i="7" l="1"/>
  <c r="E103" i="7" l="1"/>
  <c r="F103" i="7" s="1"/>
  <c r="B103" i="7"/>
  <c r="G103" i="7" l="1"/>
  <c r="E104" i="7" l="1"/>
  <c r="F104" i="7" s="1"/>
  <c r="B104" i="7"/>
  <c r="G104" i="7" l="1"/>
  <c r="E105" i="7" l="1"/>
  <c r="F105" i="7" s="1"/>
  <c r="B105" i="7"/>
  <c r="G105" i="7" l="1"/>
  <c r="E106" i="7" l="1"/>
  <c r="F106" i="7" s="1"/>
  <c r="B106" i="7"/>
  <c r="G106" i="7" l="1"/>
  <c r="E107" i="7" l="1"/>
  <c r="F107" i="7" s="1"/>
  <c r="B107" i="7"/>
  <c r="G107" i="7" l="1"/>
  <c r="E108" i="7" l="1"/>
  <c r="F108" i="7" s="1"/>
  <c r="B108" i="7"/>
  <c r="G108" i="7" l="1"/>
  <c r="E109" i="7" l="1"/>
  <c r="F109" i="7" s="1"/>
  <c r="B109" i="7"/>
  <c r="G109" i="7" l="1"/>
  <c r="E110" i="7" l="1"/>
  <c r="F110" i="7" s="1"/>
  <c r="B110" i="7"/>
  <c r="G110" i="7" l="1"/>
  <c r="E111" i="7" l="1"/>
  <c r="F111" i="7" s="1"/>
  <c r="B111" i="7"/>
  <c r="G111" i="7" l="1"/>
  <c r="E112" i="7" l="1"/>
  <c r="F112" i="7" s="1"/>
  <c r="B112" i="7"/>
  <c r="G112" i="7" l="1"/>
  <c r="E113" i="7" l="1"/>
  <c r="F113" i="7" s="1"/>
  <c r="B113" i="7"/>
  <c r="G113" i="7" l="1"/>
  <c r="E114" i="7" l="1"/>
  <c r="F114" i="7" s="1"/>
  <c r="B114" i="7"/>
  <c r="G114" i="7" l="1"/>
  <c r="E115" i="7" l="1"/>
  <c r="F115" i="7" s="1"/>
  <c r="B115" i="7"/>
  <c r="G115" i="7" l="1"/>
  <c r="E116" i="7" l="1"/>
  <c r="F116" i="7" s="1"/>
  <c r="B116" i="7"/>
  <c r="G116" i="7" l="1"/>
  <c r="E117" i="7" l="1"/>
  <c r="F117" i="7" s="1"/>
  <c r="B117" i="7"/>
  <c r="G117" i="7" l="1"/>
  <c r="E118" i="7" l="1"/>
  <c r="F118" i="7" s="1"/>
  <c r="B118" i="7"/>
  <c r="G118" i="7" l="1"/>
  <c r="E119" i="7" l="1"/>
  <c r="F119" i="7" s="1"/>
  <c r="B119" i="7"/>
  <c r="G119" i="7" l="1"/>
  <c r="E120" i="7" l="1"/>
  <c r="F120" i="7" s="1"/>
  <c r="B120" i="7"/>
  <c r="G120" i="7" l="1"/>
  <c r="E121" i="7" l="1"/>
  <c r="F121" i="7" s="1"/>
  <c r="B121" i="7"/>
  <c r="G121" i="7" l="1"/>
  <c r="E122" i="7" l="1"/>
  <c r="F122" i="7" s="1"/>
  <c r="B122" i="7"/>
  <c r="G122" i="7" l="1"/>
  <c r="E123" i="7" l="1"/>
  <c r="F123" i="7" s="1"/>
  <c r="B123" i="7"/>
  <c r="G123" i="7" l="1"/>
  <c r="E124" i="7" l="1"/>
  <c r="F124" i="7" s="1"/>
  <c r="B124" i="7"/>
  <c r="G124" i="7" l="1"/>
  <c r="E125" i="7" l="1"/>
  <c r="F125" i="7" s="1"/>
  <c r="B125" i="7"/>
  <c r="G125" i="7" l="1"/>
  <c r="E126" i="7" l="1"/>
  <c r="F126" i="7" s="1"/>
  <c r="B126" i="7"/>
  <c r="G126" i="7" l="1"/>
  <c r="E127" i="7" l="1"/>
  <c r="F127" i="7" s="1"/>
  <c r="B127" i="7"/>
  <c r="G127" i="7" l="1"/>
  <c r="E128" i="7" l="1"/>
  <c r="F128" i="7" s="1"/>
  <c r="B128" i="7"/>
  <c r="G128" i="7" l="1"/>
  <c r="E129" i="7" l="1"/>
  <c r="F129" i="7" s="1"/>
  <c r="B129" i="7"/>
  <c r="G129" i="7" l="1"/>
  <c r="E130" i="7" l="1"/>
  <c r="F130" i="7" s="1"/>
  <c r="B130" i="7"/>
  <c r="G130" i="7" l="1"/>
  <c r="E131" i="7" l="1"/>
  <c r="F131" i="7" s="1"/>
  <c r="B131" i="7"/>
  <c r="G131" i="7" l="1"/>
  <c r="E132" i="7" l="1"/>
  <c r="F132" i="7" s="1"/>
  <c r="B132" i="7"/>
  <c r="G132" i="7" l="1"/>
  <c r="E133" i="7" l="1"/>
  <c r="F133" i="7" s="1"/>
  <c r="B133" i="7"/>
  <c r="G133" i="7" l="1"/>
  <c r="E134" i="7" l="1"/>
  <c r="F134" i="7" s="1"/>
  <c r="B134" i="7"/>
  <c r="G134" i="7" l="1"/>
  <c r="E135" i="7" l="1"/>
  <c r="F135" i="7" s="1"/>
  <c r="B135" i="7"/>
  <c r="G135" i="7" l="1"/>
  <c r="E136" i="7" l="1"/>
  <c r="F136" i="7" s="1"/>
  <c r="B136" i="7"/>
  <c r="G136" i="7" l="1"/>
  <c r="E137" i="7" l="1"/>
  <c r="F137" i="7" s="1"/>
  <c r="B137" i="7"/>
  <c r="G137" i="7" l="1"/>
  <c r="E138" i="7" l="1"/>
  <c r="F138" i="7" s="1"/>
  <c r="B138" i="7"/>
  <c r="G138" i="7" l="1"/>
  <c r="E139" i="7" l="1"/>
  <c r="F139" i="7" s="1"/>
  <c r="B139" i="7"/>
  <c r="G139" i="7" l="1"/>
  <c r="E140" i="7" l="1"/>
  <c r="F140" i="7" s="1"/>
  <c r="B140" i="7"/>
  <c r="G140" i="7" l="1"/>
  <c r="E141" i="7" l="1"/>
  <c r="F141" i="7" s="1"/>
  <c r="B141" i="7"/>
  <c r="G141" i="7" l="1"/>
  <c r="E142" i="7" l="1"/>
  <c r="F142" i="7" s="1"/>
  <c r="B142" i="7"/>
  <c r="G142" i="7" l="1"/>
  <c r="E143" i="7" l="1"/>
  <c r="F143" i="7" s="1"/>
  <c r="B143" i="7"/>
  <c r="G143" i="7" l="1"/>
  <c r="E144" i="7" l="1"/>
  <c r="F144" i="7" s="1"/>
  <c r="B144" i="7"/>
  <c r="G144" i="7" l="1"/>
  <c r="E145" i="7" l="1"/>
  <c r="F145" i="7" s="1"/>
  <c r="B145" i="7"/>
  <c r="G145" i="7" l="1"/>
  <c r="E146" i="7" l="1"/>
  <c r="F146" i="7" s="1"/>
  <c r="B146" i="7"/>
  <c r="G146" i="7" l="1"/>
  <c r="E147" i="7" l="1"/>
  <c r="F147" i="7" s="1"/>
  <c r="B147" i="7"/>
  <c r="G147" i="7" l="1"/>
  <c r="E148" i="7" l="1"/>
  <c r="F148" i="7" s="1"/>
  <c r="B148" i="7"/>
  <c r="G148" i="7" l="1"/>
  <c r="E149" i="7" l="1"/>
  <c r="F149" i="7" s="1"/>
  <c r="B149" i="7"/>
  <c r="G149" i="7" l="1"/>
  <c r="E150" i="7" l="1"/>
  <c r="F150" i="7" s="1"/>
  <c r="B150" i="7"/>
  <c r="G150" i="7" l="1"/>
  <c r="E151" i="7" l="1"/>
  <c r="F151" i="7" s="1"/>
  <c r="B151" i="7"/>
  <c r="G151" i="7" l="1"/>
  <c r="E152" i="7" l="1"/>
  <c r="F152" i="7" s="1"/>
  <c r="B152" i="7"/>
  <c r="G152" i="7" l="1"/>
  <c r="E153" i="7" l="1"/>
  <c r="F153" i="7" s="1"/>
  <c r="B153" i="7"/>
  <c r="G153" i="7" l="1"/>
  <c r="E154" i="7" l="1"/>
  <c r="F154" i="7" s="1"/>
  <c r="B154" i="7"/>
  <c r="G154" i="7" l="1"/>
  <c r="E155" i="7" l="1"/>
  <c r="F155" i="7" s="1"/>
  <c r="B155" i="7"/>
  <c r="G155" i="7" l="1"/>
  <c r="E156" i="7" l="1"/>
  <c r="F156" i="7" s="1"/>
  <c r="B156" i="7"/>
  <c r="G156" i="7" l="1"/>
  <c r="E157" i="7" l="1"/>
  <c r="F157" i="7" s="1"/>
  <c r="B157" i="7"/>
  <c r="G157" i="7" l="1"/>
  <c r="E158" i="7" l="1"/>
  <c r="F158" i="7" s="1"/>
  <c r="B158" i="7"/>
  <c r="G158" i="7" l="1"/>
  <c r="E159" i="7" l="1"/>
  <c r="F159" i="7" s="1"/>
  <c r="B159" i="7"/>
  <c r="G159" i="7" l="1"/>
  <c r="E160" i="7" l="1"/>
  <c r="F160" i="7" s="1"/>
  <c r="B160" i="7"/>
  <c r="G160" i="7" l="1"/>
  <c r="E161" i="7" l="1"/>
  <c r="F161" i="7" s="1"/>
  <c r="B161" i="7"/>
  <c r="G161" i="7" l="1"/>
  <c r="E162" i="7" l="1"/>
  <c r="F162" i="7" s="1"/>
  <c r="B162" i="7"/>
  <c r="G162" i="7" l="1"/>
  <c r="E163" i="7" l="1"/>
  <c r="F163" i="7" s="1"/>
  <c r="B163" i="7"/>
  <c r="G163" i="7" l="1"/>
  <c r="E164" i="7" l="1"/>
  <c r="F164" i="7" s="1"/>
  <c r="B164" i="7"/>
  <c r="G164" i="7" l="1"/>
  <c r="E165" i="7" l="1"/>
  <c r="F165" i="7" s="1"/>
  <c r="B165" i="7"/>
  <c r="G165" i="7" l="1"/>
  <c r="E166" i="7" l="1"/>
  <c r="F166" i="7" s="1"/>
  <c r="B166" i="7"/>
  <c r="G166" i="7" l="1"/>
  <c r="E167" i="7" l="1"/>
  <c r="F167" i="7" s="1"/>
  <c r="B167" i="7"/>
  <c r="G167" i="7" l="1"/>
  <c r="E168" i="7" l="1"/>
  <c r="F168" i="7" s="1"/>
  <c r="B168" i="7"/>
  <c r="G168" i="7" l="1"/>
  <c r="E169" i="7" l="1"/>
  <c r="F169" i="7" s="1"/>
  <c r="B169" i="7"/>
  <c r="G169" i="7" l="1"/>
  <c r="E170" i="7" l="1"/>
  <c r="F170" i="7" s="1"/>
  <c r="B170" i="7"/>
  <c r="G170" i="7" l="1"/>
  <c r="E171" i="7" l="1"/>
  <c r="F171" i="7" s="1"/>
  <c r="B171" i="7"/>
  <c r="G171" i="7" l="1"/>
  <c r="E172" i="7" l="1"/>
  <c r="F172" i="7" s="1"/>
  <c r="B172" i="7"/>
  <c r="G172" i="7" l="1"/>
  <c r="E173" i="7" l="1"/>
  <c r="F173" i="7" s="1"/>
  <c r="B173" i="7"/>
  <c r="G173" i="7" l="1"/>
  <c r="E174" i="7" l="1"/>
  <c r="F174" i="7" s="1"/>
  <c r="B174" i="7"/>
  <c r="G174" i="7" l="1"/>
  <c r="E175" i="7" l="1"/>
  <c r="F175" i="7" s="1"/>
  <c r="B175" i="7"/>
  <c r="G175" i="7" l="1"/>
  <c r="E176" i="7" l="1"/>
  <c r="F176" i="7" s="1"/>
  <c r="B176" i="7"/>
  <c r="G176" i="7" l="1"/>
  <c r="E177" i="7" l="1"/>
  <c r="F177" i="7" s="1"/>
  <c r="B177" i="7"/>
  <c r="G177" i="7" l="1"/>
  <c r="E178" i="7" l="1"/>
  <c r="F178" i="7" s="1"/>
  <c r="B178" i="7"/>
  <c r="G178" i="7" l="1"/>
  <c r="E179" i="7" l="1"/>
  <c r="F179" i="7" s="1"/>
  <c r="B179" i="7"/>
  <c r="G179" i="7" l="1"/>
  <c r="E180" i="7" l="1"/>
  <c r="F180" i="7" s="1"/>
  <c r="B180" i="7"/>
  <c r="G180" i="7" l="1"/>
  <c r="E181" i="7" l="1"/>
  <c r="F181" i="7" s="1"/>
  <c r="B181" i="7"/>
  <c r="G181" i="7" l="1"/>
  <c r="E182" i="7" l="1"/>
  <c r="F182" i="7" s="1"/>
  <c r="B182" i="7"/>
  <c r="G182" i="7" l="1"/>
  <c r="E183" i="7" l="1"/>
  <c r="F183" i="7" s="1"/>
  <c r="B183" i="7"/>
  <c r="G183" i="7" l="1"/>
  <c r="E184" i="7" l="1"/>
  <c r="F184" i="7" s="1"/>
  <c r="B184" i="7"/>
  <c r="G184" i="7" l="1"/>
  <c r="E185" i="7" l="1"/>
  <c r="F185" i="7" s="1"/>
  <c r="B185" i="7"/>
  <c r="G185" i="7" l="1"/>
  <c r="E186" i="7" l="1"/>
  <c r="F186" i="7" s="1"/>
  <c r="B186" i="7"/>
  <c r="G186" i="7" l="1"/>
  <c r="E187" i="7" l="1"/>
  <c r="F187" i="7" s="1"/>
  <c r="B187" i="7"/>
  <c r="G187" i="7" l="1"/>
  <c r="E188" i="7" l="1"/>
  <c r="F188" i="7" s="1"/>
  <c r="B188" i="7"/>
  <c r="G188" i="7" l="1"/>
  <c r="E189" i="7" l="1"/>
  <c r="F189" i="7" s="1"/>
  <c r="B189" i="7"/>
  <c r="G189" i="7" l="1"/>
  <c r="E190" i="7" l="1"/>
  <c r="F190" i="7" s="1"/>
  <c r="B190" i="7"/>
  <c r="G190" i="7" l="1"/>
  <c r="E191" i="7" l="1"/>
  <c r="F191" i="7" s="1"/>
  <c r="B191" i="7"/>
  <c r="G191" i="7" l="1"/>
  <c r="E192" i="7" l="1"/>
  <c r="F192" i="7" s="1"/>
  <c r="B192" i="7"/>
  <c r="G192" i="7" l="1"/>
  <c r="E193" i="7" l="1"/>
  <c r="F193" i="7" s="1"/>
  <c r="B193" i="7"/>
  <c r="G193" i="7" l="1"/>
  <c r="E194" i="7" l="1"/>
  <c r="F194" i="7" s="1"/>
  <c r="B194" i="7"/>
  <c r="G194" i="7" l="1"/>
  <c r="E195" i="7" l="1"/>
  <c r="F195" i="7" s="1"/>
  <c r="B195" i="7"/>
  <c r="G195" i="7" l="1"/>
  <c r="E196" i="7" l="1"/>
  <c r="F196" i="7" s="1"/>
  <c r="B196" i="7"/>
  <c r="G196" i="7" l="1"/>
  <c r="E197" i="7" l="1"/>
  <c r="F197" i="7" s="1"/>
  <c r="B197" i="7"/>
  <c r="G197" i="7" l="1"/>
</calcChain>
</file>

<file path=xl/sharedStrings.xml><?xml version="1.0" encoding="utf-8"?>
<sst xmlns="http://schemas.openxmlformats.org/spreadsheetml/2006/main" count="717" uniqueCount="433">
  <si>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</si>
  <si>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Turnover</t>
  </si>
  <si>
    <t>Year 1</t>
  </si>
  <si>
    <t>Year 2</t>
  </si>
  <si>
    <t>Year 3</t>
  </si>
  <si>
    <t>Gross Profit %</t>
  </si>
  <si>
    <t>Inventory</t>
  </si>
  <si>
    <t>Working Capital</t>
  </si>
  <si>
    <t>www.excel-skills.com</t>
  </si>
  <si>
    <t>Help &amp; Customization</t>
  </si>
  <si>
    <t>Debtors Days</t>
  </si>
  <si>
    <t>Creditors Days</t>
  </si>
  <si>
    <t>Inventory Days</t>
  </si>
  <si>
    <t>Income Tax %</t>
  </si>
  <si>
    <t>Interest Rate</t>
  </si>
  <si>
    <t>Balance Sheet</t>
  </si>
  <si>
    <t>Current Assets</t>
  </si>
  <si>
    <t>Retained Earnings</t>
  </si>
  <si>
    <t>Current Liabilities</t>
  </si>
  <si>
    <t>Taxation</t>
  </si>
  <si>
    <t>Repayment Term</t>
  </si>
  <si>
    <t>Interest Only</t>
  </si>
  <si>
    <t>Interest</t>
  </si>
  <si>
    <t>Year</t>
  </si>
  <si>
    <t>Opening Balance</t>
  </si>
  <si>
    <t>Closing Balance</t>
  </si>
  <si>
    <t>Excel Skills | Annual Cash Flow Projection Template</t>
  </si>
  <si>
    <t>Instructions</t>
  </si>
  <si>
    <t>Year 4</t>
  </si>
  <si>
    <t>Year 5</t>
  </si>
  <si>
    <t>Property, Plant &amp; Equipment</t>
  </si>
  <si>
    <t>Interest Cover</t>
  </si>
  <si>
    <t>Current Ratio</t>
  </si>
  <si>
    <t>Quick Ratio</t>
  </si>
  <si>
    <t>Debt / Equity</t>
  </si>
  <si>
    <t>Return on Equity (ROE)</t>
  </si>
  <si>
    <t>Return on Net Assets (RONA)</t>
  </si>
  <si>
    <t>© www.excel-skills.com</t>
  </si>
  <si>
    <t>Capital Repayment</t>
  </si>
  <si>
    <t>The following sheets are included in this template:</t>
  </si>
  <si>
    <t>Loan Terms</t>
  </si>
  <si>
    <t>No</t>
  </si>
  <si>
    <t>Loan Repayment</t>
  </si>
  <si>
    <t>Shareholders' Contributions</t>
  </si>
  <si>
    <t>Business Name</t>
  </si>
  <si>
    <t>Cash Flow Projections - Assumptions</t>
  </si>
  <si>
    <t>Depreciation</t>
  </si>
  <si>
    <t>Profit / (Loss) for the year</t>
  </si>
  <si>
    <t>Profit / (Loss) before Interest &amp; Tax</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</si>
  <si>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</si>
  <si>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</si>
  <si>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</si>
  <si>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</si>
  <si>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</si>
  <si>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</si>
  <si>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</si>
  <si>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</si>
  <si>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</si>
  <si>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</si>
  <si>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</si>
  <si>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</si>
  <si>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</si>
  <si>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</si>
  <si>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end of year</t>
  </si>
  <si>
    <t>Cash &amp; cash equivalents at beginning of year</t>
  </si>
  <si>
    <t>Income Statement</t>
  </si>
  <si>
    <t>Cash Flow Statement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</si>
  <si>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</si>
  <si>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</si>
  <si>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Start Date</t>
  </si>
  <si>
    <t>Financial Assumptions - Income Statement</t>
  </si>
  <si>
    <t>Annual Turnover Growth %</t>
  </si>
  <si>
    <t>Operating Expenses</t>
  </si>
  <si>
    <t>Annual Expense Inflation %</t>
  </si>
  <si>
    <t>Staff Costs</t>
  </si>
  <si>
    <t>Depreciation &amp; Amortization</t>
  </si>
  <si>
    <t>Annual Depreciation Charges</t>
  </si>
  <si>
    <t>Annual Amortization Charges</t>
  </si>
  <si>
    <t>Interest &amp; Taxation</t>
  </si>
  <si>
    <t>Automatically calculated on the IncState worksheet.</t>
  </si>
  <si>
    <t>Annual projections for the first year need to be entered on the IncState worksheet. The assumptions below are then used to calculate the</t>
  </si>
  <si>
    <t>V1C1</t>
  </si>
  <si>
    <t>Product Sales</t>
  </si>
  <si>
    <t>Income From Services</t>
  </si>
  <si>
    <t>Total Turnover</t>
  </si>
  <si>
    <t>Products</t>
  </si>
  <si>
    <t>V1C0</t>
  </si>
  <si>
    <t>Services</t>
  </si>
  <si>
    <t>Total Cost of Sales</t>
  </si>
  <si>
    <t>Total Gross Profit</t>
  </si>
  <si>
    <t>The annual gross profit percentages for all products or services need to be entered on the IncState sheet. This is the only line item which</t>
  </si>
  <si>
    <t>requires user input in the year 2 to 5 columns - the year 2 to 5 amounts for the rest of the income statement are calculated automatically.</t>
  </si>
  <si>
    <t>Annual operating expense projections for the first year need to be entered on the IncState worksheet and the year 2 to 5 amounts are determined</t>
  </si>
  <si>
    <t>based on the below expense inflation rates.</t>
  </si>
  <si>
    <t>Annual staff costs for the first year need to be entered on the IncState worksheet and the year 2 to 5 amounts are also determined</t>
  </si>
  <si>
    <t>based on the above expense inflation rates.</t>
  </si>
  <si>
    <t>Total Operating Expenses</t>
  </si>
  <si>
    <t>PAY</t>
  </si>
  <si>
    <t>Total Staff Costs</t>
  </si>
  <si>
    <t>DEP</t>
  </si>
  <si>
    <t>AMT</t>
  </si>
  <si>
    <t>Amortization</t>
  </si>
  <si>
    <t>Total Depreciation &amp; Amortization</t>
  </si>
  <si>
    <t>Annual depreciation &amp; amortization projections for the first year need to be entered on the IncState worksheet. The assumptions below are then</t>
  </si>
  <si>
    <t>used to calculate the year 2 to 5 balances.</t>
  </si>
  <si>
    <t>year 2 to 5 balances.</t>
  </si>
  <si>
    <t>Interest Paid</t>
  </si>
  <si>
    <t>INT</t>
  </si>
  <si>
    <t>Interest - Loans 1</t>
  </si>
  <si>
    <t>Total Interest Paid</t>
  </si>
  <si>
    <t>Profit / (Loss) before tax</t>
  </si>
  <si>
    <t>TAX</t>
  </si>
  <si>
    <t>Profit / (Loss) %</t>
  </si>
  <si>
    <t>Financial Assumptions - Balance Sheet</t>
  </si>
  <si>
    <t>Reserves</t>
  </si>
  <si>
    <t>Loans &amp; Advances</t>
  </si>
  <si>
    <t>Other Receivables</t>
  </si>
  <si>
    <t>Other Accruals</t>
  </si>
  <si>
    <t>Other Provisions</t>
  </si>
  <si>
    <t>Purchases of intangible assets</t>
  </si>
  <si>
    <t>Purchases of investments</t>
  </si>
  <si>
    <t>The following balance sheet balances are calculated based on the assumptions that are entered on this sheet:</t>
  </si>
  <si>
    <t>The following balance sheet balances are projected by entering the appropriate annual movements in the section below. Red codes in column A</t>
  </si>
  <si>
    <t>indicate that you need to enter a negative value to increase the appropriate balance sheet balance.</t>
  </si>
  <si>
    <t>RES</t>
  </si>
  <si>
    <t>ADV</t>
  </si>
  <si>
    <t>ODB</t>
  </si>
  <si>
    <t>ACC</t>
  </si>
  <si>
    <t>OPV</t>
  </si>
  <si>
    <t>PPE</t>
  </si>
  <si>
    <t>INA</t>
  </si>
  <si>
    <t>INV</t>
  </si>
  <si>
    <t>CAP</t>
  </si>
  <si>
    <t>LT1</t>
  </si>
  <si>
    <t>Loans 1 (only the proceeds from loans)</t>
  </si>
  <si>
    <t>LT2</t>
  </si>
  <si>
    <t>Loans 2 (only the proceeds from loans)</t>
  </si>
  <si>
    <t>LT3</t>
  </si>
  <si>
    <t>Loans 3 (only the proceeds from loans)</t>
  </si>
  <si>
    <t>FIN</t>
  </si>
  <si>
    <t>Finance Leases (only the proceeds)</t>
  </si>
  <si>
    <t>Payroll Accrual:</t>
  </si>
  <si>
    <t>Accrual %</t>
  </si>
  <si>
    <t>Payment Frequency (Months)</t>
  </si>
  <si>
    <t>First Payment Month</t>
  </si>
  <si>
    <t>Current Or Subsequent</t>
  </si>
  <si>
    <t>Subsequent</t>
  </si>
  <si>
    <t>Sales Tax</t>
  </si>
  <si>
    <t>Rates</t>
  </si>
  <si>
    <t>Standard</t>
  </si>
  <si>
    <t>Secondary</t>
  </si>
  <si>
    <t>Zero Rated</t>
  </si>
  <si>
    <t>Exempt</t>
  </si>
  <si>
    <t>Income Tax</t>
  </si>
  <si>
    <t>Assessed Loss Carried Over</t>
  </si>
  <si>
    <t>Current</t>
  </si>
  <si>
    <t>Projected loan repayments and interest are calculated based on the below terms (each on a separate sheet).</t>
  </si>
  <si>
    <t>Loans 1</t>
  </si>
  <si>
    <t>Loans 2</t>
  </si>
  <si>
    <t>Loans 3</t>
  </si>
  <si>
    <t>Leases</t>
  </si>
  <si>
    <t>Repayment Term (in years)</t>
  </si>
  <si>
    <t>The below section can be used to include balance sheet opening balances for existing businesses.</t>
  </si>
  <si>
    <t>Balance Sheet Opening Balances</t>
  </si>
  <si>
    <t>Cash Flow Projections - Repayment Schedule - Loans 2</t>
  </si>
  <si>
    <t>Cash Flow Projections - Repayment Schedule - Loans 3</t>
  </si>
  <si>
    <t>Cash Flow Projections - Repayment Schedule - Finance Leases</t>
  </si>
  <si>
    <t>Proceeds from loans 1</t>
  </si>
  <si>
    <t>Proceeds from loans 2</t>
  </si>
  <si>
    <t>Proceeds from loans 3</t>
  </si>
  <si>
    <t>Proceeds from finance leases</t>
  </si>
  <si>
    <t>Repayment of loans 1</t>
  </si>
  <si>
    <t>Repayment of loans 2</t>
  </si>
  <si>
    <t>Repayment of loans 3</t>
  </si>
  <si>
    <t>Repayment of finance leases</t>
  </si>
  <si>
    <t>Intangible Assets</t>
  </si>
  <si>
    <t>Investments</t>
  </si>
  <si>
    <t>Trade Receivables</t>
  </si>
  <si>
    <t>Cash &amp; Cash Equivalents</t>
  </si>
  <si>
    <t>Long Term Loans 1</t>
  </si>
  <si>
    <t>Long Term Loans 2</t>
  </si>
  <si>
    <t>Long Term Loans 3</t>
  </si>
  <si>
    <t>Finance Leases</t>
  </si>
  <si>
    <t>Bank Overdraft</t>
  </si>
  <si>
    <t>Trade Payables</t>
  </si>
  <si>
    <t>Payroll Accruals</t>
  </si>
  <si>
    <t>Accruals</t>
  </si>
  <si>
    <t>Provision For Taxation</t>
  </si>
  <si>
    <t>STC</t>
  </si>
  <si>
    <t>DEB</t>
  </si>
  <si>
    <t>CSH</t>
  </si>
  <si>
    <t>EAR</t>
  </si>
  <si>
    <t>OVD</t>
  </si>
  <si>
    <t>CRE</t>
  </si>
  <si>
    <t>VAT</t>
  </si>
  <si>
    <t>ASSETS</t>
  </si>
  <si>
    <t>Non-Current Assets</t>
  </si>
  <si>
    <t>Total Assets</t>
  </si>
  <si>
    <t>EQUITY &amp; LIABILITIES</t>
  </si>
  <si>
    <t>Equity</t>
  </si>
  <si>
    <t>Non-Current Liabilities</t>
  </si>
  <si>
    <t>Total Equity &amp; Liabilities</t>
  </si>
  <si>
    <t>Workings (Not Printed):</t>
  </si>
  <si>
    <t>Sales Tax:</t>
  </si>
  <si>
    <t>Payment Month?</t>
  </si>
  <si>
    <t>Month Index</t>
  </si>
  <si>
    <t>Income Tax:</t>
  </si>
  <si>
    <t>Annual COS</t>
  </si>
  <si>
    <t>Annual Turnover (Inclusive)</t>
  </si>
  <si>
    <t>Annual Payables (Inclusive)</t>
  </si>
  <si>
    <t>Annual Output Total</t>
  </si>
  <si>
    <t>Annual Input Total</t>
  </si>
  <si>
    <t>Annual Total</t>
  </si>
  <si>
    <t>Days in year</t>
  </si>
  <si>
    <t>Other Income</t>
  </si>
  <si>
    <t>DIV</t>
  </si>
  <si>
    <t>Dividends</t>
  </si>
  <si>
    <t>Retained earnings for the year</t>
  </si>
  <si>
    <t>Dividend %</t>
  </si>
  <si>
    <t>Next</t>
  </si>
  <si>
    <t>Dividends paid</t>
  </si>
  <si>
    <t>Dividends Payable</t>
  </si>
  <si>
    <t>Dividends:</t>
  </si>
  <si>
    <t>Expense Month?</t>
  </si>
  <si>
    <t>Monthly Dividend Value</t>
  </si>
  <si>
    <t>Dividend Expense</t>
  </si>
  <si>
    <t>Dividend Accrual</t>
  </si>
  <si>
    <t>Additional Loans</t>
  </si>
  <si>
    <t>Interest Charges</t>
  </si>
  <si>
    <t>This template enables users to prepare annual cash flow projections for any user defined five year period. The template includes an annual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annual reporting periods are based on any user defined start date.</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</si>
  <si>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</si>
  <si>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</si>
  <si>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</si>
  <si>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</si>
  <si>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Turnover &amp; Gross Profits</t>
  </si>
  <si>
    <t>The year 2 to 5 turnover amounts are calculated based on the totals for the first year and adjusted by the annual turnover growth rates that are specified on the Assumptions sheet. Gross profit percentages for each turnover line need to be entered on the IncState sheet. Gross profit values and cost of sales totals are calculated automatically.</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</si>
  <si>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</si>
  <si>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</si>
  <si>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</si>
  <si>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The year 2 to 5 totals for other income are calculated by applying the annual turnover growth percentages on the Assumptions sheet to the previous year's total.</t>
  </si>
  <si>
    <t>The year 2 to 5 totals for operating expenses are calculated by applying the annual expense inflation percentages on the Assumptions sheet to the previous year's total.</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</si>
  <si>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</si>
  <si>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The year 2 to 5 totals for staff costs are calculated by applying the annual expense inflation percentages on the Assumptions sheet to the previous year's total.</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</si>
  <si>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</si>
  <si>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</si>
  <si>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</si>
  <si>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</si>
  <si>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</si>
  <si>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</si>
  <si>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</si>
  <si>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</si>
  <si>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</si>
  <si>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</si>
  <si>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</si>
  <si>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</si>
  <si>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</si>
  <si>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</si>
  <si>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</si>
  <si>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</si>
  <si>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</si>
  <si>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</si>
  <si>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</si>
  <si>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Current Assets - Inventory</t>
  </si>
  <si>
    <t>Note: If your business does not carry inventory, you can simply enter a nil value in the inventory days assumption on the Assumptions sheet. The inventory line on the balance sheet will then also contain nil values.</t>
  </si>
  <si>
    <t>Current Assets - Trade Receivables</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</si>
  <si>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</si>
  <si>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</si>
  <si>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</si>
  <si>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</si>
  <si>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</si>
  <si>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</si>
  <si>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</si>
  <si>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</si>
  <si>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</si>
  <si>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</si>
  <si>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</si>
  <si>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</si>
  <si>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</si>
  <si>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</si>
  <si>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Current Liabilities - Bank Overdraft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</si>
  <si>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</si>
  <si>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</si>
  <si>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</si>
  <si>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</si>
  <si>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</si>
  <si>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</si>
  <si>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</si>
  <si>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</si>
  <si>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</si>
  <si>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</si>
  <si>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</si>
  <si>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</si>
  <si>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</si>
  <si>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</si>
  <si>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</si>
  <si>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</si>
  <si>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</si>
  <si>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</si>
  <si>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</si>
  <si>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</si>
  <si>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</si>
  <si>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</si>
  <si>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</si>
  <si>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</si>
  <si>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</si>
  <si>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</si>
  <si>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</si>
  <si>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</si>
  <si>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</si>
  <si>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</si>
  <si>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</si>
  <si>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</si>
  <si>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</si>
  <si>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</si>
  <si>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</si>
  <si>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</si>
  <si>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</si>
  <si>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</si>
  <si>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</si>
  <si>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</si>
  <si>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</si>
  <si>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</si>
  <si>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</si>
  <si>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</si>
  <si>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</si>
  <si>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</si>
  <si>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</si>
  <si>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</si>
  <si>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</si>
  <si>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</si>
  <si>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Loan Amortization Tables (Loans1 to Loans3 &amp; Leases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</si>
  <si>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</si>
  <si>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cash flow projections need to be entered at the top of the Assumptions sheet. The business name is included as a heading on all the sheets and the reporting periods which are included in the template are determined based on the start date that is specified. This date is used as the first annual period and the 4 subsequent annual periods are added to form the 5 year projection period.</t>
  </si>
  <si>
    <t>All annual income statement projections need to be entered exclusive of any sales tax that may be applicable.</t>
  </si>
  <si>
    <t>Annual turnover values need to be entered on the IncState sheet in column C for the first year. The projected annual gross profit percentages also need to be entered in column C on this sheet and are used in order to calculate the gross profit values. The annual cost of sales projections are calculated by simply deducting the gross profit values from the annual turnover values.</t>
  </si>
  <si>
    <t>The income statement only requires user input in column C where there is yellow highlighting in column A. The year 2 to 5 calculations are automated (except for gross profit percentages) and based on the user input on the Assumptions sheet. Rows without yellow highlighting are automatically calculated. The cash flow statement and balance sheet requires no user input and all calculations are automated.</t>
  </si>
  <si>
    <t>If you want to include variable annual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</si>
  <si>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Where sales tax is applicable, the appropriate sales tax value relating to annual turnover will be added to the trade receivables balance. Sales tax codes are defined on the Assumptions sheet and the codes in column A next to the turnover amounts on the income statement are used to determine the appropriate rate of sales tax to be used.</t>
  </si>
  <si>
    <t>If you want to include variable annual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</si>
  <si>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The bank overdraft as well as cash &amp; cash equivalents are based on the closing cash balances which are calculated on the cash flow statement. If the appropriate annual closing balance is negative, the balance is included as a bank overdraft and if it is positive, it is included as cash under current assets on the balance sheet.</t>
  </si>
  <si>
    <t>Where sales tax is applicable, the appropriate sales tax value relating to annual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</si>
  <si>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If you want to include variable annual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</si>
  <si>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annual sales tax payment periods, the frequency should be 1 and the first payment month should also be 1.</t>
  </si>
  <si>
    <t>If you want to include payroll accruals based on variable annual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</si>
  <si>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All the annual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year 2 to 5 columns from one of the existing line items.</t>
  </si>
  <si>
    <t>The annual staff cost projections for the first year need to be entered in column C of the staff costs section of the income statement. The template contains 2 default staff cost line items but you can add as many additional items as required or delete the line items that you do not need.</t>
  </si>
  <si>
    <t>Annual projections for depreciation and amortization charges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</si>
  <si>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annual depreciation &amp; amortization charges for the first year need to be included on the IncState sheet and the totals for year 2 to 5 need to be included on the Assumptions sheet.</t>
  </si>
  <si>
    <t>Opening loan balances are based on the balance sheet opening balances section on the Assumptions sheet and additional loan amounts can be entered in the first balance sheet section on the Assumptions sheet.</t>
  </si>
  <si>
    <t>The template provides for four sets of loan repayment terms - the same amortization table can basically be used for all loans with the same repayment terms by adding additional loan amounts as proceeds to the Assumptions sheet in order to add new loans to the appropriate amortization table.</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</si>
  <si>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Assumptions sheet and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</si>
  <si>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property, plant &amp; equipment balances on the balance sheet are calculated by adding the purchases of property, plant &amp; equipment (entered on the Assumptions sheet in the first balance sheet assumptions section) and then deducting the appropriate depreciation charges that are included on the income statement.</t>
  </si>
  <si>
    <t>Intangible assets balances are calculated in much the same way by adding the purchases of intangible assets (also entered on the Assumptions sheet in the first balance sheet assumptions section) and deducting the appropriate amortization charges as per the income statement. The calculation of the investments balances on the balance sheet is a bit simpler in that only the purchases of new investments (entered on the Assumptions sheet in the first balance sheet assumptions section) are added to the previous period's balance and there is no depreciation or amortization on investments.</t>
  </si>
  <si>
    <t>Note: Purchases of property, plant &amp; equipment, intangible assets and investments all need to be entered as negative values on the Assumptions sheet in the first balance sheet assumptions section.</t>
  </si>
  <si>
    <t>The inventory balances on the balance sheet are calculated based on the inventory days assumption which is specified on the Assumptions sheet. The annual cost of sales is divided by the number of days in the financial year and multiplied by the inventory days assumption in order to calculate the inventory balance at the end of the year.</t>
  </si>
  <si>
    <t>The trade receivables balances on the balance sheet are calculated based on the debtors days assumption which is specified on the Assumptions sheet. The debtors days number can be determined based on the average trading terms which has been negotiated with customers. The annual turnover as per the income statement is divided by the number of days in the financial year and multiplied by the debtors days assumption in order to calculate the trade receivables balance at the end of the year.</t>
  </si>
  <si>
    <t>The loans and advances &amp; other receivables balances cannot be calculated by basing them on specific income statement items and they are therefore calculated by adding the movements in these balances (entered on the Assumptions sheet in the first balance sheet assumptions section) to the balances of the previous month. If you therefore want to increase or decrease these balances, you need to add the amount of the increase or decrease to the line with a matching description on the Assumptions sheet.</t>
  </si>
  <si>
    <t>Note: Movements in loans &amp; advances and other receivables need to be entered as negative values on the Assumptions sheet in order to increase the balance sheet balances.</t>
  </si>
  <si>
    <t>The shareholders contributions &amp; reserves balances cannot be calculated by basing them on income statement items and they are therefore calculated by adding the movements in these balances (entered on the Assumptions sheet in the first balance sheet assumptions section) to the balances of the previous month. If you therefore want to increase or decrease these balances, you need to add the amount of the increase or decrease to the line with a matching description on the Assumptions sheet.</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</si>
  <si>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 Additional loan amounts can be entered in the proceeds from loans lines in the first balance sheet assumptions section on the Assumptions sheet.</t>
  </si>
  <si>
    <t>The annual cost of sales, operating expenses and staff costs on the income statement are added together in order to determine an annual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</si>
  <si>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Like the calculation of inventory and trade receivables balances, the trade payables balances on the balance sheet are calculated by dividing the appropriate annual cost of sales &amp; expense total by the number of days in the financial year and multiplying the resulting value by the creditors days value.</t>
  </si>
  <si>
    <t>V4C0</t>
  </si>
  <si>
    <t>You also need to specify the appropriate percentage of staff costs which needs to be included in your payroll accruals. This percentage should be based on the percentage of staff costs which are paid in a subsequent month and is based on the current year's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</si>
  <si>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period and the payroll accrual balance at the end of the payment month will be nil.</t>
  </si>
  <si>
    <t>The other accrual &amp; other provisions balances cannot be calculated by basing them on specific income statement items and they are therefore calculated by adding the movements in these balances (entered on the Assumptions sheet in the first balance sheet assumptions section) to the balances of the previous period. If you therefore want to increase or decrease these balances, you need to add the amount of the increase or decrease to the line with a matching description on the Assumptions sheet.</t>
  </si>
  <si>
    <t>The profit before tax amount is multiplied by the income tax percentage on the Assumptions sheet in order to calculate the annual income tax value. If there is a loss before tax on the income statement, no income tax will be calculated but if there were profits before the period with the loss, the income tax that was calculated in previous periods will be reversed in the period with the loss.</t>
  </si>
  <si>
    <t>The annual provision for income tax balances are calculated by calculating the income tax amount for the appropriate year, dividing it by 12 and multiplying the value by the number of months which needs to be included in the provision. This is determined based on the year-end period and the income tax assumptions on the Assumptions sheet.</t>
  </si>
  <si>
    <t>The annual dividend payable balances are calculated based on the profit for the year, the dividend percentage and the payment status of Cash, Next or Subsequent.</t>
  </si>
  <si>
    <t>The loan repayments, interest charged and capital repayments are calculated based on the outstanding balances at the beginning of each period. The outstanding loan or lease balances at the end of the appropriate annual period are then included in the appropriate lines on the balance sheet.</t>
  </si>
  <si>
    <t>If the balance sheet for any annual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</si>
  <si>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The cash flow statement requires no user input. All the calculations on the cash flow statement are based on the balance sheet calculations and the user input on the Assumptions sheet.</t>
  </si>
  <si>
    <t>If you need more guidance on any item on the cash flow statement, refer to the appropriate section for the particular item under the Balance Sheet section of these instructions.</t>
  </si>
  <si>
    <t>The template makes provision for including loans with up to four different sets of repayment terms in the cash flow projections. The amortization tables that are used to calculate the interest charges, loan repayments and outstanding balances have been included on the Loans1, Loans2, Loans3 and Leases sheets. No user input is required on any of these sheets.</t>
  </si>
  <si>
    <t>You also need to specify the payment frequency in months and the first payment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</si>
  <si>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sales tax balances at year-end are calculated by calculating the total sales tax for the appropriate year, dividing it by twelve and then multiplying the value by the number of months that are included in the sales tax balance at the end of the year.</t>
  </si>
  <si>
    <t>Example: If you need to settle income tax liabilities every six months and the income tax payments are due in February and August of each year, a frequency of 6 needs to be specified and the first calendar month should be set to 2 for February. If you settle income tax liabilities at the end of each quarter with payments due in March, June, September and December, the frequency should be set to 3 and the first payment month should also be set to 3.</t>
  </si>
  <si>
    <r>
      <t xml:space="preserve">Assumptions - </t>
    </r>
    <r>
      <rPr>
        <sz val="10"/>
        <rFont val="Arial"/>
        <family val="2"/>
      </rPr>
      <t>this sheet includes the default assumptions on which the annual cash flow projections are based.</t>
    </r>
  </si>
  <si>
    <r>
      <t xml:space="preserve">CashFlow - </t>
    </r>
    <r>
      <rPr>
        <sz val="10"/>
        <rFont val="Arial"/>
        <family val="2"/>
      </rPr>
      <t>the annual cash flow statement is automatically calculated and requires no user input.</t>
    </r>
  </si>
  <si>
    <r>
      <t>BalanceSheet</t>
    </r>
    <r>
      <rPr>
        <sz val="10"/>
        <rFont val="Arial"/>
        <family val="2"/>
      </rPr>
      <t xml:space="preserve"> - all balance sheet calculations are based on the template assumptions and the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</si>
  <si>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interest charges and capital repayment amounts that are included on the income statement and cash flow statement. Each sheet provides for a different set of loan repayment terms to be specified.</t>
    </r>
  </si>
  <si>
    <r>
      <t xml:space="preserve">IncState - </t>
    </r>
    <r>
      <rPr>
        <sz val="10"/>
        <rFont val="Arial"/>
        <family val="2"/>
      </rPr>
      <t>this sheet includes a detailed annual income statement for 5 annual periods. All the rows with yellow highlighting in column A require user input in column C and the codes in column A are used in the sales tax, receivables &amp; payables calculations. The rows that do not contain yellow highlighting in column A contain formulas and are therefore calculated automatically.</t>
    </r>
  </si>
  <si>
    <t>Annual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</si>
  <si>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</si>
  <si>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</si>
  <si>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in order to include the dividend on the income statement in the last month of the financial year and the payment in the first month of the next financial year. A dividend payable amount will automatically be included on the balance sheet.</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</si>
  <si>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</si>
  <si>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</si>
  <si>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annual payroll accrual balances are calculated by multiplying the year's staff costs by the payroll accrual percentage, dividing the result by 12 and multiplying it by the number of months which should be included in the payroll accrual at year-end.</t>
  </si>
  <si>
    <t>Note: The number of months which needs to be included in the provision for income tax at year-end is determined on a rolling basis which means that the difference between the year-end month and the previous payment date is always calculated. When you have a 12 month payment period and the payment month is subsequent to the year-end, this method of calculation may not have the desired effect because the full 12 months may not be included in the provision for income tax. You need to specify the first month after year-end as the first payment month which will result in the full 12 months being included in the provision.</t>
  </si>
  <si>
    <t>Example: If income tax payments are made every 12 months and the payment month is 6 months after the year-end period, the calculations will only include income tax charges for 6 months in the provision because only 6 months have elapsed since the previous payment date. Say you have a year-end of February and income tax payments are made in August (6 months after year-end). For the purpose of this template, you will need to include a first payment month of 3 (March) and select the subsequent option to ensure that income tax for the full 12 months are included in the provision. If you don't include the first month after year-end (March) as the first payment month, the income tax provision will only include 6 months being the period since the last payment date (August) and the provision for income tax will only include the period from September to February.</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</si>
  <si>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</si>
  <si>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</si>
  <si>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</si>
  <si>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Note: Our website also includes a Monthly Cash Flow template and a Forecast vs Actual Cash Flow template which enable users to compile a 36 month cash flow forecast and to compare the forecasted balances to actual account balances.</t>
  </si>
  <si>
    <t>Maisha Transport Company Limited</t>
  </si>
  <si>
    <t>General and Administration Expenses</t>
  </si>
  <si>
    <t>Sales &amp; Marketing</t>
  </si>
  <si>
    <t>Production Costs</t>
  </si>
  <si>
    <t>Total Production Costs</t>
  </si>
  <si>
    <t>Products Costs</t>
  </si>
  <si>
    <t>Services Costs</t>
  </si>
  <si>
    <t>Project Overview and Costs</t>
  </si>
  <si>
    <t>Expected Plant Capacity</t>
  </si>
  <si>
    <t>100 poles per day</t>
  </si>
  <si>
    <t>Number of Lines</t>
  </si>
  <si>
    <t>Two(2)</t>
  </si>
  <si>
    <t>Production per line</t>
  </si>
  <si>
    <t>50 poles</t>
  </si>
  <si>
    <t>Plant Commision time</t>
  </si>
  <si>
    <t>6 months</t>
  </si>
  <si>
    <t>POLE LENGTH</t>
  </si>
  <si>
    <t>UNIT PER DAY</t>
  </si>
  <si>
    <t>UNIT PER MONTH</t>
  </si>
  <si>
    <t>10m</t>
  </si>
  <si>
    <t>12m</t>
  </si>
  <si>
    <t>13m</t>
  </si>
  <si>
    <t>15m</t>
  </si>
  <si>
    <t>17m</t>
  </si>
  <si>
    <t>Total</t>
  </si>
  <si>
    <t>Assumption</t>
  </si>
  <si>
    <t>Working days per week</t>
  </si>
  <si>
    <t>Working weeks per year</t>
  </si>
  <si>
    <t>Working days per year</t>
  </si>
  <si>
    <t>Working months per year</t>
  </si>
  <si>
    <t>Working days per month</t>
  </si>
  <si>
    <t>UNIT PER YEAR</t>
  </si>
  <si>
    <t>UNIT PRICE</t>
  </si>
  <si>
    <t>TOTAL PRICE</t>
  </si>
  <si>
    <t>Repayment Schedule - Loans 1</t>
  </si>
  <si>
    <t>Revenue</t>
  </si>
  <si>
    <t>Net Profit (Loss)</t>
  </si>
  <si>
    <t>Expenses &amp;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</si>
</sst>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_(* #,##0.0_);_(* \(#,##0.0\);_(* &quot;-&quot;??_);_(@_)"/>
    <numFmt numFmtId="167" formatCode="mmm/yyyy"/>
    <numFmt numFmtId="168" formatCode="_ * #,##0_ ;_ * \-#,##0_ ;_ * &quot;-&quot;??_ ;_ @_ "/>
    <numFmt numFmtId="169" formatCode="_-* #,##0_-;\-* #,##0_-;_-* &quot;-&quot;??_-;_-@_-"/>
  </numFmts>
  <fonts count="37" x14ac:knownFonts="1">
    <font>
      <sz val="10"/>
      <name val="Century Gothic"/>
      <family val="2"/>
      <scheme val="minor"/>
    </font>
    <font>
      <sz val="10"/>
      <name val="Arial"/>
      <family val="2"/>
    </font>
    <font>
      <u/>
      <sz val="10"/>
      <color indexed="12"/>
      <name val="Arial"/>
      <family val="2"/>
    </font>
    <font>
      <sz val="8"/>
      <name val="Arial"/>
      <family val="2"/>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i/>
      <sz val="10"/>
      <color indexed="9"/>
      <name val="Century Gothic"/>
      <family val="2"/>
      <scheme val="minor"/>
    </font>
    <font>
      <sz val="10"/>
      <color rgb="FFFF0000"/>
      <name val="Century Gothic"/>
      <family val="2"/>
      <scheme val="minor"/>
    </font>
    <font>
      <sz val="10"/>
      <color theme="0"/>
      <name val="Century Gothic"/>
      <family val="2"/>
      <scheme val="minor"/>
    </font>
    <font>
      <b/>
      <i/>
      <sz val="10"/>
      <color indexed="8"/>
      <name val="Century Gothic"/>
      <family val="2"/>
      <scheme val="minor"/>
    </font>
    <font>
      <sz val="10"/>
      <color indexed="12"/>
      <name val="Century Gothic"/>
      <family val="2"/>
      <scheme val="minor"/>
    </font>
    <font>
      <b/>
      <sz val="10"/>
      <color theme="0"/>
      <name val="Century Gothic"/>
      <family val="2"/>
      <scheme val="minor"/>
    </font>
    <font>
      <sz val="10"/>
      <color indexed="8"/>
      <name val="Century Gothic"/>
      <family val="2"/>
      <scheme val="minor"/>
    </font>
    <font>
      <i/>
      <sz val="10"/>
      <color indexed="8"/>
      <name val="Century Gothic"/>
      <family val="2"/>
      <scheme val="minor"/>
    </font>
    <font>
      <b/>
      <sz val="12"/>
      <color indexed="8"/>
      <name val="Century Gothic"/>
      <family val="2"/>
      <scheme val="minor"/>
    </font>
    <font>
      <sz val="9"/>
      <color rgb="FF00B050"/>
      <name val="Century Gothic"/>
      <family val="2"/>
      <scheme val="minor"/>
    </font>
    <font>
      <sz val="9"/>
      <color rgb="FFFF0000"/>
      <name val="Century Gothic"/>
      <family val="2"/>
      <scheme val="minor"/>
    </font>
    <font>
      <b/>
      <sz val="9"/>
      <color rgb="FF00B050"/>
      <name val="Century Gothic"/>
      <family val="2"/>
      <scheme val="minor"/>
    </font>
    <font>
      <i/>
      <sz val="9"/>
      <color rgb="FF00B050"/>
      <name val="Century Gothic"/>
      <family val="2"/>
      <scheme val="minor"/>
    </font>
    <font>
      <b/>
      <i/>
      <sz val="9"/>
      <color rgb="FF00B050"/>
      <name val="Century Gothic"/>
      <family val="2"/>
      <scheme val="minor"/>
    </font>
    <font>
      <i/>
      <sz val="9"/>
      <name val="Century Gothic"/>
      <family val="2"/>
      <scheme val="minor"/>
    </font>
    <font>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
      <b/>
      <sz val="11"/>
      <color theme="1"/>
      <name val="Century Gothic"/>
      <family val="2"/>
    </font>
    <font>
      <sz val="11"/>
      <color theme="1"/>
      <name val="Century Gothic"/>
      <family val="2"/>
    </font>
    <font>
      <sz val="11"/>
      <name val="Century Gothic"/>
      <family val="2"/>
      <scheme val="minor"/>
    </font>
    <font>
      <b/>
      <sz val="11"/>
      <name val="Century Gothic"/>
      <family val="2"/>
      <scheme val="minor"/>
    </font>
    <font>
      <sz val="8"/>
      <name val="Century Gothic"/>
      <family val="2"/>
      <scheme val="minor"/>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00206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84">
    <xf numFmtId="0" fontId="0" fillId="0" borderId="0" xfId="0"/>
    <xf numFmtId="0" fontId="5" fillId="0" borderId="0" xfId="0" applyFont="1" applyAlignment="1" applyProtection="1">
      <alignment wrapText="1"/>
      <protection hidden="1"/>
    </xf>
    <xf numFmtId="0" fontId="4" fillId="0" borderId="0" xfId="0" applyFont="1" applyProtection="1">
      <protection hidden="1"/>
    </xf>
    <xf numFmtId="0" fontId="4" fillId="0" borderId="0" xfId="1" applyNumberFormat="1" applyFont="1" applyProtection="1">
      <protection hidden="1"/>
    </xf>
    <xf numFmtId="0" fontId="5" fillId="0" borderId="0" xfId="1" applyNumberFormat="1" applyFont="1" applyProtection="1">
      <protection hidden="1"/>
    </xf>
    <xf numFmtId="0" fontId="5" fillId="0" borderId="0" xfId="0" applyFont="1" applyProtection="1">
      <protection hidden="1"/>
    </xf>
    <xf numFmtId="0" fontId="6" fillId="0" borderId="0" xfId="0" applyFont="1" applyProtection="1">
      <protection hidden="1"/>
    </xf>
    <xf numFmtId="0" fontId="10" fillId="0" borderId="0" xfId="0" applyFont="1" applyProtection="1">
      <protection hidden="1"/>
    </xf>
    <xf numFmtId="14" fontId="5" fillId="2" borderId="11" xfId="1" applyNumberFormat="1" applyFont="1" applyFill="1" applyBorder="1" applyAlignment="1" applyProtection="1">
      <alignment horizontal="center"/>
      <protection hidden="1"/>
    </xf>
    <xf numFmtId="0" fontId="5" fillId="0" borderId="0" xfId="1" applyNumberFormat="1" applyFont="1" applyFill="1" applyBorder="1" applyAlignment="1" applyProtection="1">
      <alignment horizontal="left"/>
      <protection hidden="1"/>
    </xf>
    <xf numFmtId="43" fontId="4" fillId="0" borderId="0" xfId="1" applyFont="1" applyAlignment="1" applyProtection="1">
      <alignment horizontal="center"/>
      <protection hidden="1"/>
    </xf>
    <xf numFmtId="43" fontId="4" fillId="0" borderId="0" xfId="1" applyFont="1" applyProtection="1">
      <protection hidden="1"/>
    </xf>
    <xf numFmtId="165" fontId="6" fillId="0" borderId="0" xfId="1" applyNumberFormat="1" applyFont="1" applyAlignment="1" applyProtection="1">
      <alignment horizontal="center"/>
      <protection hidden="1"/>
    </xf>
    <xf numFmtId="43" fontId="6" fillId="0" borderId="0" xfId="1" applyFont="1" applyAlignment="1" applyProtection="1">
      <alignment horizontal="center"/>
      <protection hidden="1"/>
    </xf>
    <xf numFmtId="165" fontId="5" fillId="0" borderId="0" xfId="1" applyNumberFormat="1" applyFont="1" applyProtection="1">
      <protection hidden="1"/>
    </xf>
    <xf numFmtId="164" fontId="5" fillId="4" borderId="1" xfId="3" applyNumberFormat="1" applyFont="1" applyFill="1" applyBorder="1" applyAlignment="1" applyProtection="1">
      <alignment horizontal="center"/>
      <protection hidden="1"/>
    </xf>
    <xf numFmtId="165" fontId="4" fillId="0" borderId="0" xfId="1" applyNumberFormat="1" applyFont="1" applyProtection="1">
      <protection hidden="1"/>
    </xf>
    <xf numFmtId="165" fontId="5" fillId="0" borderId="0" xfId="1" applyNumberFormat="1" applyFont="1" applyFill="1" applyBorder="1" applyProtection="1">
      <protection hidden="1"/>
    </xf>
    <xf numFmtId="43" fontId="5" fillId="0" borderId="0" xfId="1" applyFont="1" applyProtection="1">
      <protection hidden="1"/>
    </xf>
    <xf numFmtId="165" fontId="5" fillId="4" borderId="1" xfId="1" applyNumberFormat="1" applyFont="1" applyFill="1" applyBorder="1" applyAlignment="1" applyProtection="1">
      <alignment horizontal="center"/>
      <protection hidden="1"/>
    </xf>
    <xf numFmtId="165" fontId="5" fillId="0" borderId="0" xfId="1" applyNumberFormat="1" applyFont="1" applyFill="1" applyBorder="1" applyAlignment="1" applyProtection="1">
      <alignment horizontal="center"/>
      <protection hidden="1"/>
    </xf>
    <xf numFmtId="165" fontId="6" fillId="0" borderId="0" xfId="1" applyNumberFormat="1" applyFont="1" applyFill="1" applyBorder="1" applyAlignment="1" applyProtection="1">
      <alignment horizontal="center"/>
      <protection hidden="1"/>
    </xf>
    <xf numFmtId="0" fontId="11" fillId="0" borderId="0" xfId="0" applyFont="1" applyProtection="1">
      <protection hidden="1"/>
    </xf>
    <xf numFmtId="3" fontId="5" fillId="2" borderId="1" xfId="1" applyNumberFormat="1" applyFont="1" applyFill="1" applyBorder="1" applyAlignment="1" applyProtection="1">
      <alignment horizontal="center"/>
      <protection hidden="1"/>
    </xf>
    <xf numFmtId="164" fontId="5" fillId="2" borderId="1" xfId="3" applyNumberFormat="1" applyFont="1" applyFill="1" applyBorder="1" applyAlignment="1" applyProtection="1">
      <alignment horizontal="center"/>
      <protection hidden="1"/>
    </xf>
    <xf numFmtId="0" fontId="12" fillId="0" borderId="0" xfId="1" applyNumberFormat="1" applyFont="1" applyAlignment="1" applyProtection="1">
      <alignment horizontal="center"/>
      <protection hidden="1"/>
    </xf>
    <xf numFmtId="0" fontId="5" fillId="4" borderId="1" xfId="0" applyFont="1" applyFill="1" applyBorder="1" applyProtection="1">
      <protection hidden="1"/>
    </xf>
    <xf numFmtId="10" fontId="5" fillId="2" borderId="1" xfId="3" applyNumberFormat="1" applyFont="1" applyFill="1" applyBorder="1" applyProtection="1">
      <protection hidden="1"/>
    </xf>
    <xf numFmtId="166" fontId="5" fillId="2" borderId="1" xfId="1" applyNumberFormat="1" applyFont="1" applyFill="1" applyBorder="1" applyProtection="1">
      <protection hidden="1"/>
    </xf>
    <xf numFmtId="165" fontId="5" fillId="2" borderId="1" xfId="1" applyNumberFormat="1" applyFont="1" applyFill="1" applyBorder="1" applyAlignment="1" applyProtection="1">
      <alignment horizontal="right"/>
      <protection hidden="1"/>
    </xf>
    <xf numFmtId="165" fontId="5" fillId="2" borderId="1" xfId="1" applyNumberFormat="1" applyFont="1" applyFill="1" applyBorder="1" applyProtection="1">
      <protection hidden="1"/>
    </xf>
    <xf numFmtId="165" fontId="6" fillId="0" borderId="0" xfId="1" applyNumberFormat="1" applyFont="1" applyFill="1" applyBorder="1" applyProtection="1">
      <protection hidden="1"/>
    </xf>
    <xf numFmtId="165" fontId="7" fillId="0" borderId="0" xfId="2" applyNumberFormat="1" applyFont="1" applyAlignment="1" applyProtection="1">
      <alignment horizontal="right"/>
      <protection hidden="1"/>
    </xf>
    <xf numFmtId="167" fontId="5" fillId="3" borderId="1" xfId="0" applyNumberFormat="1" applyFont="1" applyFill="1" applyBorder="1" applyAlignment="1" applyProtection="1">
      <alignment vertical="center" wrapText="1"/>
      <protection hidden="1"/>
    </xf>
    <xf numFmtId="167" fontId="4" fillId="4" borderId="1" xfId="1" applyNumberFormat="1" applyFont="1" applyFill="1" applyBorder="1" applyAlignment="1" applyProtection="1">
      <alignment horizontal="center" vertical="center" wrapText="1"/>
      <protection hidden="1"/>
    </xf>
    <xf numFmtId="167" fontId="4" fillId="3" borderId="1" xfId="1" applyNumberFormat="1" applyFont="1" applyFill="1" applyBorder="1" applyAlignment="1" applyProtection="1">
      <alignment horizontal="center" vertical="center" wrapText="1"/>
      <protection hidden="1"/>
    </xf>
    <xf numFmtId="167" fontId="5" fillId="0" borderId="0" xfId="0" applyNumberFormat="1" applyFont="1" applyAlignment="1" applyProtection="1">
      <alignment vertical="center" wrapText="1"/>
      <protection hidden="1"/>
    </xf>
    <xf numFmtId="0" fontId="5" fillId="0" borderId="0" xfId="1" applyNumberFormat="1" applyFont="1" applyBorder="1" applyProtection="1">
      <protection hidden="1"/>
    </xf>
    <xf numFmtId="165" fontId="5" fillId="0" borderId="2" xfId="1" applyNumberFormat="1" applyFont="1" applyFill="1" applyBorder="1" applyProtection="1">
      <protection hidden="1"/>
    </xf>
    <xf numFmtId="165" fontId="5" fillId="0" borderId="2" xfId="1" applyNumberFormat="1" applyFont="1" applyBorder="1" applyProtection="1">
      <protection hidden="1"/>
    </xf>
    <xf numFmtId="165" fontId="5" fillId="0" borderId="3" xfId="1" applyNumberFormat="1" applyFont="1" applyFill="1" applyBorder="1" applyProtection="1">
      <protection hidden="1"/>
    </xf>
    <xf numFmtId="165" fontId="5" fillId="0" borderId="3" xfId="1" applyNumberFormat="1" applyFont="1" applyBorder="1" applyProtection="1">
      <protection hidden="1"/>
    </xf>
    <xf numFmtId="0" fontId="4" fillId="0" borderId="0" xfId="1" applyNumberFormat="1" applyFont="1" applyBorder="1" applyProtection="1">
      <protection hidden="1"/>
    </xf>
    <xf numFmtId="165" fontId="4" fillId="0" borderId="13" xfId="1" applyNumberFormat="1" applyFont="1" applyFill="1" applyBorder="1" applyProtection="1">
      <protection hidden="1"/>
    </xf>
    <xf numFmtId="165" fontId="4" fillId="0" borderId="13" xfId="1" applyNumberFormat="1" applyFont="1" applyBorder="1" applyProtection="1">
      <protection hidden="1"/>
    </xf>
    <xf numFmtId="164" fontId="6" fillId="0" borderId="0" xfId="3" applyNumberFormat="1" applyFont="1" applyProtection="1">
      <protection hidden="1"/>
    </xf>
    <xf numFmtId="164" fontId="5" fillId="0" borderId="3" xfId="3" applyNumberFormat="1" applyFont="1" applyBorder="1" applyProtection="1">
      <protection hidden="1"/>
    </xf>
    <xf numFmtId="164" fontId="5" fillId="0" borderId="0" xfId="3" applyNumberFormat="1" applyFont="1" applyProtection="1">
      <protection hidden="1"/>
    </xf>
    <xf numFmtId="0" fontId="13" fillId="0" borderId="0" xfId="0" applyFont="1" applyProtection="1">
      <protection hidden="1"/>
    </xf>
    <xf numFmtId="164" fontId="13" fillId="0" borderId="13" xfId="3" applyNumberFormat="1" applyFont="1" applyFill="1" applyBorder="1" applyProtection="1">
      <protection hidden="1"/>
    </xf>
    <xf numFmtId="165" fontId="4" fillId="0" borderId="4" xfId="1" applyNumberFormat="1" applyFont="1" applyBorder="1" applyProtection="1">
      <protection hidden="1"/>
    </xf>
    <xf numFmtId="165" fontId="4" fillId="0" borderId="3" xfId="1" applyNumberFormat="1" applyFont="1" applyBorder="1" applyProtection="1">
      <protection hidden="1"/>
    </xf>
    <xf numFmtId="164" fontId="6" fillId="0" borderId="3" xfId="3" applyNumberFormat="1" applyFont="1" applyBorder="1" applyProtection="1">
      <protection hidden="1"/>
    </xf>
    <xf numFmtId="0" fontId="5" fillId="0" borderId="7" xfId="0" applyFont="1" applyBorder="1" applyProtection="1">
      <protection hidden="1"/>
    </xf>
    <xf numFmtId="165" fontId="5" fillId="0" borderId="5" xfId="1" applyNumberFormat="1" applyFont="1" applyBorder="1" applyProtection="1">
      <protection hidden="1"/>
    </xf>
    <xf numFmtId="43" fontId="6" fillId="0" borderId="0" xfId="1" applyFont="1" applyProtection="1">
      <protection hidden="1"/>
    </xf>
    <xf numFmtId="0" fontId="14" fillId="0" borderId="0" xfId="0" applyFont="1" applyProtection="1">
      <protection hidden="1"/>
    </xf>
    <xf numFmtId="167" fontId="5" fillId="0" borderId="0" xfId="0" applyNumberFormat="1" applyFont="1" applyProtection="1">
      <protection hidden="1"/>
    </xf>
    <xf numFmtId="0" fontId="5" fillId="0" borderId="2" xfId="0" applyFont="1" applyBorder="1" applyProtection="1">
      <protection hidden="1"/>
    </xf>
    <xf numFmtId="0" fontId="5" fillId="0" borderId="3" xfId="0" applyFont="1" applyBorder="1" applyProtection="1">
      <protection hidden="1"/>
    </xf>
    <xf numFmtId="165" fontId="6" fillId="0" borderId="2" xfId="1" applyNumberFormat="1" applyFont="1" applyBorder="1" applyProtection="1">
      <protection hidden="1"/>
    </xf>
    <xf numFmtId="165" fontId="6" fillId="0" borderId="13" xfId="1" applyNumberFormat="1" applyFont="1" applyBorder="1" applyProtection="1">
      <protection hidden="1"/>
    </xf>
    <xf numFmtId="165" fontId="4" fillId="0" borderId="6" xfId="1" applyNumberFormat="1" applyFont="1" applyBorder="1" applyProtection="1">
      <protection hidden="1"/>
    </xf>
    <xf numFmtId="0" fontId="7" fillId="0" borderId="0" xfId="2" applyFont="1" applyAlignment="1" applyProtection="1">
      <alignment horizontal="right"/>
      <protection hidden="1"/>
    </xf>
    <xf numFmtId="167" fontId="15" fillId="5" borderId="1" xfId="1" applyNumberFormat="1" applyFont="1" applyFill="1" applyBorder="1" applyAlignment="1" applyProtection="1">
      <alignment horizontal="center" vertical="center" wrapText="1"/>
      <protection hidden="1"/>
    </xf>
    <xf numFmtId="165" fontId="4" fillId="0" borderId="2" xfId="1" applyNumberFormat="1" applyFont="1" applyBorder="1" applyProtection="1">
      <protection hidden="1"/>
    </xf>
    <xf numFmtId="165" fontId="4" fillId="0" borderId="2" xfId="1" applyNumberFormat="1" applyFont="1" applyFill="1" applyBorder="1" applyProtection="1">
      <protection hidden="1"/>
    </xf>
    <xf numFmtId="165" fontId="4" fillId="0" borderId="3" xfId="1" applyNumberFormat="1" applyFont="1" applyFill="1" applyBorder="1" applyProtection="1">
      <protection hidden="1"/>
    </xf>
    <xf numFmtId="165" fontId="5" fillId="0" borderId="13" xfId="1" applyNumberFormat="1" applyFont="1" applyBorder="1" applyProtection="1">
      <protection hidden="1"/>
    </xf>
    <xf numFmtId="165" fontId="4" fillId="0" borderId="14" xfId="1" applyNumberFormat="1" applyFont="1" applyBorder="1" applyProtection="1">
      <protection hidden="1"/>
    </xf>
    <xf numFmtId="165" fontId="16" fillId="0" borderId="3" xfId="1" applyNumberFormat="1" applyFont="1" applyBorder="1" applyProtection="1">
      <protection hidden="1"/>
    </xf>
    <xf numFmtId="0" fontId="16" fillId="0" borderId="0" xfId="0" applyFont="1" applyProtection="1">
      <protection hidden="1"/>
    </xf>
    <xf numFmtId="165" fontId="16" fillId="0" borderId="13" xfId="1" applyNumberFormat="1" applyFont="1" applyBorder="1" applyProtection="1">
      <protection hidden="1"/>
    </xf>
    <xf numFmtId="168" fontId="5" fillId="0" borderId="3" xfId="1" applyNumberFormat="1" applyFont="1" applyBorder="1" applyProtection="1">
      <protection hidden="1"/>
    </xf>
    <xf numFmtId="165" fontId="11" fillId="0" borderId="0" xfId="1" applyNumberFormat="1" applyFont="1" applyProtection="1">
      <protection hidden="1"/>
    </xf>
    <xf numFmtId="165" fontId="6" fillId="0" borderId="0" xfId="1" applyNumberFormat="1" applyFont="1" applyProtection="1">
      <protection hidden="1"/>
    </xf>
    <xf numFmtId="165" fontId="6" fillId="0" borderId="0" xfId="1" applyNumberFormat="1" applyFont="1" applyAlignment="1" applyProtection="1">
      <protection hidden="1"/>
    </xf>
    <xf numFmtId="0" fontId="17" fillId="0" borderId="0" xfId="0" applyFont="1" applyProtection="1">
      <protection hidden="1"/>
    </xf>
    <xf numFmtId="166" fontId="17" fillId="0" borderId="0" xfId="1" applyNumberFormat="1" applyFont="1" applyProtection="1">
      <protection hidden="1"/>
    </xf>
    <xf numFmtId="0" fontId="6" fillId="0" borderId="0" xfId="1" applyNumberFormat="1" applyFont="1" applyProtection="1">
      <protection hidden="1"/>
    </xf>
    <xf numFmtId="0" fontId="6" fillId="0" borderId="0" xfId="1" applyNumberFormat="1" applyFont="1" applyAlignment="1" applyProtection="1">
      <alignment horizontal="center"/>
      <protection hidden="1"/>
    </xf>
    <xf numFmtId="164" fontId="6" fillId="0" borderId="0" xfId="3" applyNumberFormat="1" applyFont="1" applyAlignment="1" applyProtection="1">
      <alignment horizontal="center"/>
      <protection hidden="1"/>
    </xf>
    <xf numFmtId="165" fontId="6" fillId="0" borderId="0" xfId="1" applyNumberFormat="1" applyFont="1" applyAlignment="1" applyProtection="1">
      <alignment horizontal="left" indent="2"/>
      <protection hidden="1"/>
    </xf>
    <xf numFmtId="0" fontId="7" fillId="0" borderId="0" xfId="2" applyNumberFormat="1" applyFont="1" applyAlignment="1" applyProtection="1">
      <alignment horizontal="right"/>
      <protection hidden="1"/>
    </xf>
    <xf numFmtId="165" fontId="5" fillId="0" borderId="0" xfId="0" applyNumberFormat="1" applyFont="1" applyProtection="1">
      <protection hidden="1"/>
    </xf>
    <xf numFmtId="10" fontId="5" fillId="3" borderId="1" xfId="3" applyNumberFormat="1" applyFont="1" applyFill="1" applyBorder="1" applyProtection="1">
      <protection hidden="1"/>
    </xf>
    <xf numFmtId="165" fontId="5" fillId="0" borderId="0" xfId="3" applyNumberFormat="1" applyFont="1" applyFill="1" applyBorder="1" applyProtection="1">
      <protection hidden="1"/>
    </xf>
    <xf numFmtId="166" fontId="5" fillId="3" borderId="1" xfId="1" applyNumberFormat="1" applyFont="1" applyFill="1" applyBorder="1" applyProtection="1">
      <protection hidden="1"/>
    </xf>
    <xf numFmtId="165" fontId="5" fillId="3" borderId="1" xfId="1" applyNumberFormat="1" applyFont="1" applyFill="1" applyBorder="1" applyAlignment="1" applyProtection="1">
      <alignment horizontal="right"/>
      <protection hidden="1"/>
    </xf>
    <xf numFmtId="165" fontId="5" fillId="0" borderId="0" xfId="1" applyNumberFormat="1" applyFont="1" applyFill="1" applyBorder="1" applyAlignment="1" applyProtection="1">
      <alignment horizontal="right"/>
      <protection hidden="1"/>
    </xf>
    <xf numFmtId="0" fontId="8" fillId="3" borderId="1" xfId="0" applyFont="1" applyFill="1" applyBorder="1" applyAlignment="1" applyProtection="1">
      <alignment vertical="center" wrapText="1"/>
      <protection hidden="1"/>
    </xf>
    <xf numFmtId="165" fontId="4" fillId="3" borderId="1" xfId="1" applyNumberFormat="1" applyFont="1" applyFill="1" applyBorder="1" applyAlignment="1" applyProtection="1">
      <alignment horizontal="center" vertical="center" wrapText="1"/>
      <protection hidden="1"/>
    </xf>
    <xf numFmtId="165" fontId="5" fillId="0" borderId="0" xfId="0" applyNumberFormat="1" applyFont="1" applyAlignment="1" applyProtection="1">
      <alignment vertical="center" wrapText="1"/>
      <protection hidden="1"/>
    </xf>
    <xf numFmtId="0" fontId="5" fillId="0" borderId="0" xfId="0" applyFont="1" applyAlignment="1" applyProtection="1">
      <alignment vertical="center" wrapText="1"/>
      <protection hidden="1"/>
    </xf>
    <xf numFmtId="0" fontId="16" fillId="0" borderId="0" xfId="0" applyFont="1" applyAlignment="1" applyProtection="1">
      <alignment horizontal="left" wrapText="1"/>
      <protection hidden="1"/>
    </xf>
    <xf numFmtId="165" fontId="5" fillId="0" borderId="0" xfId="1" applyNumberFormat="1" applyFont="1" applyFill="1" applyBorder="1" applyAlignment="1" applyProtection="1">
      <alignment horizontal="center" wrapText="1"/>
      <protection hidden="1"/>
    </xf>
    <xf numFmtId="165" fontId="16" fillId="0" borderId="0" xfId="1" applyNumberFormat="1" applyFont="1" applyAlignment="1" applyProtection="1">
      <alignment horizontal="right"/>
      <protection hidden="1"/>
    </xf>
    <xf numFmtId="165" fontId="5" fillId="0" borderId="0" xfId="0" applyNumberFormat="1" applyFont="1" applyAlignment="1" applyProtection="1">
      <alignment wrapText="1"/>
      <protection hidden="1"/>
    </xf>
    <xf numFmtId="0" fontId="16" fillId="0" borderId="0" xfId="0" applyFont="1" applyAlignment="1" applyProtection="1">
      <alignment horizontal="left"/>
      <protection hidden="1"/>
    </xf>
    <xf numFmtId="165" fontId="16" fillId="0" borderId="0" xfId="1" applyNumberFormat="1" applyFont="1" applyProtection="1">
      <protection hidden="1"/>
    </xf>
    <xf numFmtId="165" fontId="16" fillId="0" borderId="0" xfId="0" applyNumberFormat="1" applyFont="1" applyProtection="1">
      <protection hidden="1"/>
    </xf>
    <xf numFmtId="165" fontId="14" fillId="0" borderId="0" xfId="0" applyNumberFormat="1" applyFont="1" applyProtection="1">
      <protection hidden="1"/>
    </xf>
    <xf numFmtId="0" fontId="18" fillId="0" borderId="0" xfId="0" applyFont="1" applyProtection="1">
      <protection hidden="1"/>
    </xf>
    <xf numFmtId="0" fontId="9" fillId="0" borderId="0" xfId="0" applyFont="1" applyProtection="1">
      <protection hidden="1"/>
    </xf>
    <xf numFmtId="0" fontId="19" fillId="0" borderId="0" xfId="0" applyFont="1" applyAlignment="1" applyProtection="1">
      <alignment horizontal="left"/>
      <protection hidden="1"/>
    </xf>
    <xf numFmtId="0" fontId="19" fillId="0" borderId="0" xfId="0" applyFont="1" applyProtection="1">
      <protection hidden="1"/>
    </xf>
    <xf numFmtId="0" fontId="20" fillId="0" borderId="0" xfId="0" applyFont="1" applyProtection="1">
      <protection hidden="1"/>
    </xf>
    <xf numFmtId="0" fontId="21" fillId="0" borderId="0" xfId="0" applyFont="1" applyProtection="1">
      <protection hidden="1"/>
    </xf>
    <xf numFmtId="167" fontId="19" fillId="0" borderId="0" xfId="0" applyNumberFormat="1" applyFont="1" applyAlignment="1" applyProtection="1">
      <alignment horizontal="left" vertical="center" wrapText="1"/>
      <protection hidden="1"/>
    </xf>
    <xf numFmtId="0" fontId="19" fillId="2" borderId="12" xfId="1" applyNumberFormat="1" applyFont="1" applyFill="1" applyBorder="1" applyAlignment="1" applyProtection="1">
      <alignment horizontal="left"/>
      <protection hidden="1"/>
    </xf>
    <xf numFmtId="165" fontId="19" fillId="0" borderId="0" xfId="1" applyNumberFormat="1" applyFont="1" applyAlignment="1" applyProtection="1">
      <alignment horizontal="left"/>
      <protection hidden="1"/>
    </xf>
    <xf numFmtId="0" fontId="19" fillId="0" borderId="0" xfId="1" applyNumberFormat="1" applyFont="1" applyAlignment="1" applyProtection="1">
      <alignment horizontal="left"/>
      <protection hidden="1"/>
    </xf>
    <xf numFmtId="164" fontId="22" fillId="2" borderId="12" xfId="3" applyNumberFormat="1" applyFont="1" applyFill="1" applyBorder="1" applyAlignment="1" applyProtection="1">
      <alignment horizontal="left"/>
      <protection hidden="1"/>
    </xf>
    <xf numFmtId="0" fontId="23" fillId="0" borderId="0" xfId="0" applyFont="1" applyAlignment="1" applyProtection="1">
      <alignment horizontal="left"/>
      <protection hidden="1"/>
    </xf>
    <xf numFmtId="0" fontId="21" fillId="0" borderId="0" xfId="0" applyFont="1" applyAlignment="1" applyProtection="1">
      <alignment horizontal="left"/>
      <protection hidden="1"/>
    </xf>
    <xf numFmtId="0" fontId="19" fillId="2" borderId="12" xfId="1" applyNumberFormat="1" applyFont="1" applyFill="1" applyBorder="1" applyProtection="1">
      <protection hidden="1"/>
    </xf>
    <xf numFmtId="0" fontId="21" fillId="0" borderId="0" xfId="1" applyNumberFormat="1" applyFont="1" applyProtection="1">
      <protection hidden="1"/>
    </xf>
    <xf numFmtId="0" fontId="21" fillId="0" borderId="0" xfId="1" applyNumberFormat="1" applyFont="1" applyAlignment="1" applyProtection="1">
      <alignment horizontal="left"/>
      <protection hidden="1"/>
    </xf>
    <xf numFmtId="0" fontId="22" fillId="0" borderId="0" xfId="3" applyNumberFormat="1" applyFont="1" applyAlignment="1" applyProtection="1">
      <alignment horizontal="left"/>
      <protection hidden="1"/>
    </xf>
    <xf numFmtId="0" fontId="22" fillId="0" borderId="0" xfId="0" applyFont="1" applyAlignment="1" applyProtection="1">
      <alignment horizontal="left"/>
      <protection hidden="1"/>
    </xf>
    <xf numFmtId="167" fontId="19" fillId="0" borderId="0" xfId="0" applyNumberFormat="1" applyFont="1" applyAlignment="1" applyProtection="1">
      <alignment horizontal="left"/>
      <protection hidden="1"/>
    </xf>
    <xf numFmtId="0" fontId="20" fillId="0" borderId="0" xfId="0" applyFont="1" applyAlignment="1" applyProtection="1">
      <alignment horizontal="left"/>
      <protection hidden="1"/>
    </xf>
    <xf numFmtId="0" fontId="24" fillId="0" borderId="0" xfId="0" applyFont="1" applyAlignment="1" applyProtection="1">
      <alignment horizontal="left"/>
      <protection hidden="1"/>
    </xf>
    <xf numFmtId="0" fontId="25" fillId="0" borderId="0" xfId="0" applyFont="1" applyAlignment="1" applyProtection="1">
      <alignment horizontal="left"/>
      <protection hidden="1"/>
    </xf>
    <xf numFmtId="0" fontId="22" fillId="0" borderId="0" xfId="1" applyNumberFormat="1" applyFont="1" applyAlignment="1" applyProtection="1">
      <alignment horizontal="left"/>
      <protection hidden="1"/>
    </xf>
    <xf numFmtId="0" fontId="24" fillId="0" borderId="0" xfId="1" applyNumberFormat="1" applyFont="1" applyAlignment="1" applyProtection="1">
      <alignment horizontal="left"/>
      <protection hidden="1"/>
    </xf>
    <xf numFmtId="43" fontId="19" fillId="0" borderId="0" xfId="1" applyFont="1" applyAlignment="1" applyProtection="1">
      <alignment horizontal="left"/>
      <protection hidden="1"/>
    </xf>
    <xf numFmtId="0" fontId="1" fillId="0" borderId="0" xfId="0" applyFont="1" applyAlignment="1" applyProtection="1">
      <alignment horizontal="justify"/>
      <protection hidden="1"/>
    </xf>
    <xf numFmtId="0" fontId="27" fillId="0" borderId="0" xfId="0" applyFont="1" applyAlignment="1" applyProtection="1">
      <alignment horizontal="left" wrapText="1"/>
      <protection hidden="1"/>
    </xf>
    <xf numFmtId="0" fontId="29" fillId="0" borderId="0" xfId="2" applyNumberFormat="1" applyFont="1" applyAlignment="1" applyProtection="1">
      <alignment horizontal="right" wrapText="1"/>
      <protection hidden="1"/>
    </xf>
    <xf numFmtId="0" fontId="1" fillId="0" borderId="0" xfId="0" applyFont="1" applyAlignment="1" applyProtection="1">
      <alignment horizontal="justify" wrapText="1"/>
      <protection hidden="1"/>
    </xf>
    <xf numFmtId="0" fontId="27" fillId="0" borderId="0" xfId="0" applyFont="1" applyAlignment="1" applyProtection="1">
      <alignment horizontal="justify" wrapText="1"/>
      <protection hidden="1"/>
    </xf>
    <xf numFmtId="0" fontId="26"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0" fillId="0" borderId="0" xfId="0" applyFont="1" applyAlignment="1" applyProtection="1">
      <alignment horizontal="justify" wrapText="1"/>
      <protection hidden="1"/>
    </xf>
    <xf numFmtId="0" fontId="31" fillId="0" borderId="0" xfId="0" applyFont="1" applyAlignment="1" applyProtection="1">
      <alignment horizontal="left" wrapText="1"/>
      <protection hidden="1"/>
    </xf>
    <xf numFmtId="0" fontId="28" fillId="0" borderId="0" xfId="2" applyFont="1" applyAlignment="1" applyProtection="1">
      <alignment horizontal="left" vertical="center" wrapText="1"/>
    </xf>
    <xf numFmtId="9" fontId="5" fillId="0" borderId="3" xfId="3" applyFont="1" applyBorder="1" applyProtection="1">
      <protection hidden="1"/>
    </xf>
    <xf numFmtId="0" fontId="32" fillId="0" borderId="0" xfId="0" applyFont="1"/>
    <xf numFmtId="0" fontId="33" fillId="0" borderId="0" xfId="0" applyFont="1"/>
    <xf numFmtId="0" fontId="33" fillId="0" borderId="15" xfId="0" applyFont="1" applyBorder="1"/>
    <xf numFmtId="0" fontId="33" fillId="0" borderId="16" xfId="0" applyFont="1" applyBorder="1"/>
    <xf numFmtId="0" fontId="33" fillId="0" borderId="17" xfId="0" applyFont="1" applyBorder="1"/>
    <xf numFmtId="0" fontId="33" fillId="0" borderId="18" xfId="0" applyFont="1" applyBorder="1"/>
    <xf numFmtId="0" fontId="33" fillId="0" borderId="19" xfId="0" applyFont="1" applyBorder="1"/>
    <xf numFmtId="0" fontId="33" fillId="0" borderId="20" xfId="0" applyFont="1" applyBorder="1"/>
    <xf numFmtId="0" fontId="33" fillId="0" borderId="21" xfId="0" applyFont="1" applyBorder="1"/>
    <xf numFmtId="0" fontId="33" fillId="0" borderId="22" xfId="0" applyFont="1" applyBorder="1"/>
    <xf numFmtId="0" fontId="32" fillId="0" borderId="23" xfId="0" applyFont="1" applyBorder="1" applyAlignment="1">
      <alignment horizontal="center"/>
    </xf>
    <xf numFmtId="0" fontId="32" fillId="0" borderId="24" xfId="0" applyFont="1" applyBorder="1" applyAlignment="1">
      <alignment horizontal="center"/>
    </xf>
    <xf numFmtId="0" fontId="33" fillId="0" borderId="18" xfId="0" applyFont="1" applyBorder="1" applyAlignment="1">
      <alignment horizontal="center"/>
    </xf>
    <xf numFmtId="0" fontId="33" fillId="0" borderId="0" xfId="0" applyFont="1" applyAlignment="1">
      <alignment horizontal="center"/>
    </xf>
    <xf numFmtId="0" fontId="32" fillId="0" borderId="23" xfId="0" applyFont="1" applyBorder="1"/>
    <xf numFmtId="0" fontId="33" fillId="0" borderId="17" xfId="0" applyFont="1" applyBorder="1" applyAlignment="1">
      <alignment horizontal="center"/>
    </xf>
    <xf numFmtId="0" fontId="33" fillId="0" borderId="19" xfId="0" applyFont="1" applyBorder="1" applyAlignment="1">
      <alignment horizontal="center"/>
    </xf>
    <xf numFmtId="0" fontId="33" fillId="0" borderId="22" xfId="0" applyFont="1" applyBorder="1" applyAlignment="1">
      <alignment horizontal="center"/>
    </xf>
    <xf numFmtId="0" fontId="32" fillId="0" borderId="25" xfId="0" applyFont="1" applyBorder="1" applyAlignment="1">
      <alignment horizontal="center"/>
    </xf>
    <xf numFmtId="169" fontId="33" fillId="0" borderId="0" xfId="1" applyNumberFormat="1" applyFont="1" applyBorder="1" applyAlignment="1">
      <alignment horizontal="center"/>
    </xf>
    <xf numFmtId="43" fontId="33" fillId="0" borderId="0" xfId="1" applyFont="1" applyBorder="1"/>
    <xf numFmtId="43" fontId="33" fillId="0" borderId="26" xfId="1" applyFont="1" applyBorder="1"/>
    <xf numFmtId="169" fontId="32" fillId="0" borderId="24" xfId="1" applyNumberFormat="1" applyFont="1" applyBorder="1"/>
    <xf numFmtId="43" fontId="32" fillId="0" borderId="24" xfId="1" applyFont="1" applyBorder="1"/>
    <xf numFmtId="43" fontId="32" fillId="0" borderId="25" xfId="1" applyFont="1" applyBorder="1"/>
    <xf numFmtId="9" fontId="5" fillId="0" borderId="0" xfId="3" applyFont="1" applyProtection="1">
      <protection hidden="1"/>
    </xf>
    <xf numFmtId="0" fontId="34" fillId="0" borderId="0" xfId="0" applyFont="1"/>
    <xf numFmtId="0" fontId="35" fillId="0" borderId="15" xfId="0" applyFont="1" applyBorder="1"/>
    <xf numFmtId="0" fontId="35" fillId="0" borderId="18" xfId="0" applyFont="1" applyBorder="1"/>
    <xf numFmtId="0" fontId="35" fillId="0" borderId="20" xfId="0" applyFont="1" applyBorder="1"/>
    <xf numFmtId="43" fontId="34" fillId="0" borderId="1" xfId="1" applyFont="1" applyBorder="1"/>
    <xf numFmtId="43" fontId="34" fillId="0" borderId="27" xfId="1" applyFont="1" applyBorder="1"/>
    <xf numFmtId="43" fontId="34" fillId="0" borderId="28" xfId="1" applyFont="1" applyBorder="1"/>
    <xf numFmtId="43" fontId="34" fillId="0" borderId="29" xfId="1" applyFont="1" applyBorder="1"/>
    <xf numFmtId="43" fontId="34" fillId="0" borderId="30" xfId="1" applyFont="1" applyBorder="1"/>
    <xf numFmtId="43" fontId="34" fillId="0" borderId="31" xfId="1" applyFont="1" applyBorder="1"/>
    <xf numFmtId="0" fontId="35" fillId="0" borderId="23" xfId="0" applyFont="1" applyBorder="1"/>
    <xf numFmtId="43" fontId="34" fillId="0" borderId="32" xfId="1" applyFont="1" applyBorder="1"/>
    <xf numFmtId="43" fontId="34" fillId="0" borderId="11" xfId="1" applyFont="1" applyBorder="1"/>
    <xf numFmtId="43" fontId="34" fillId="0" borderId="33" xfId="1" applyFont="1" applyBorder="1"/>
    <xf numFmtId="0" fontId="35" fillId="0" borderId="34" xfId="0" applyFont="1" applyBorder="1"/>
    <xf numFmtId="0" fontId="35" fillId="0" borderId="35" xfId="0" applyFont="1" applyBorder="1"/>
    <xf numFmtId="0" fontId="35" fillId="0" borderId="36" xfId="0" applyFont="1" applyBorder="1"/>
    <xf numFmtId="0" fontId="5" fillId="4" borderId="8" xfId="1" applyNumberFormat="1" applyFont="1" applyFill="1" applyBorder="1" applyAlignment="1" applyProtection="1">
      <alignment horizontal="left"/>
      <protection hidden="1"/>
    </xf>
    <xf numFmtId="0" fontId="5" fillId="4" borderId="9" xfId="1" applyNumberFormat="1" applyFont="1" applyFill="1" applyBorder="1" applyAlignment="1" applyProtection="1">
      <alignment horizontal="left"/>
      <protection hidden="1"/>
    </xf>
    <xf numFmtId="0" fontId="5" fillId="4" borderId="10"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18">
    <dxf>
      <border>
        <left/>
        <right/>
        <top/>
        <bottom/>
      </border>
    </dxf>
    <dxf>
      <border>
        <left/>
        <right/>
        <top/>
        <bottom/>
      </border>
    </dxf>
    <dxf>
      <font>
        <color theme="0"/>
      </font>
      <fill>
        <patternFill>
          <bgColor theme="0"/>
        </patternFill>
      </fill>
      <border>
        <left/>
        <right/>
        <top/>
        <bottom/>
        <vertical/>
        <horizontal/>
      </border>
    </dxf>
    <dxf>
      <border>
        <left/>
        <right/>
        <top/>
        <bottom/>
      </border>
    </dxf>
    <dxf>
      <border>
        <left/>
        <right/>
        <top/>
        <bottom/>
      </border>
    </dxf>
    <dxf>
      <font>
        <color theme="0"/>
      </font>
      <fill>
        <patternFill>
          <bgColor theme="0"/>
        </patternFill>
      </fill>
      <border>
        <left/>
        <right/>
        <top/>
        <bottom/>
        <vertical/>
        <horizontal/>
      </border>
    </dxf>
    <dxf>
      <border>
        <left/>
        <right/>
        <top/>
        <bottom/>
      </border>
    </dxf>
    <dxf>
      <border>
        <left/>
        <right/>
        <top/>
        <bottom/>
      </border>
    </dxf>
    <dxf>
      <font>
        <color theme="0"/>
      </font>
      <fill>
        <patternFill>
          <bgColor theme="0"/>
        </patternFill>
      </fill>
      <border>
        <left/>
        <right/>
        <top/>
        <bottom/>
        <vertical/>
        <horizontal/>
      </border>
    </dxf>
    <dxf>
      <border>
        <left/>
        <right/>
        <top/>
        <bottom/>
      </border>
    </dxf>
    <dxf>
      <border>
        <left/>
        <right/>
        <top/>
        <bottom/>
      </border>
    </dxf>
    <dxf>
      <font>
        <color theme="0"/>
      </font>
      <fill>
        <patternFill>
          <bgColor theme="0"/>
        </patternFill>
      </fill>
      <border>
        <left/>
        <right/>
        <top/>
        <bottom/>
        <vertical/>
        <horizontal/>
      </border>
    </dxf>
    <dxf>
      <border>
        <left/>
        <right/>
        <top/>
        <bottom/>
      </border>
    </dxf>
    <dxf>
      <border>
        <left/>
        <right/>
        <top/>
        <bottom/>
      </border>
    </dxf>
    <dxf>
      <font>
        <color theme="0"/>
      </font>
      <fill>
        <patternFill>
          <bgColor theme="0"/>
        </patternFill>
      </fill>
      <border>
        <left/>
        <right/>
        <top/>
        <bottom/>
        <vertical/>
        <horizontal/>
      </border>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 Financial Highlight by Year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'P&amp;L Graph'!$B$3</c:f>
              <c:strCache>
                <c:ptCount val="1"/>
                <c:pt idx="0">
                  <c:v>Revenue</c:v>
                </c:pt>
              </c:strCache>
            </c:strRef>
          </c:tx>
          <c:spPr>
            <a:solidFill>
              <a:schemeClr val="accent1"/>
            </a:solidFill>
            <a:ln>
              <a:noFill/>
            </a:ln>
            <a:effectLst/>
          </c:spPr>
          <c:invertIfNegative val="0"/>
          <c:cat>
            <c:numRef>
              <c:f>'P&amp;L Graph'!$C$2:$G$2</c:f>
              <c:numCache>
                <c:formatCode>General</c:formatCode>
                <c:ptCount val="5"/>
                <c:pt idx="0">
                  <c:v>2025</c:v>
                </c:pt>
                <c:pt idx="1">
                  <c:v>2026</c:v>
                </c:pt>
                <c:pt idx="2">
                  <c:v>2027</c:v>
                </c:pt>
                <c:pt idx="3">
                  <c:v>2028</c:v>
                </c:pt>
                <c:pt idx="4">
                  <c:v>2029</c:v>
                </c:pt>
              </c:numCache>
            </c:numRef>
          </c:cat>
          <c:val>
            <c:numRef>
              <c:f>'P&amp;L Graph'!$C$3:$G$3</c:f>
              <c:numCache>
                <c:formatCode>_(* #,##0.00_);_(* \(#,##0.00\);_(* "-"??_);_(@_)</c:formatCode>
                <c:ptCount val="5"/>
                <c:pt idx="0">
                  <c:v>39993930631.199997</c:v>
                </c:pt>
                <c:pt idx="1">
                  <c:v>43193445081.695999</c:v>
                </c:pt>
                <c:pt idx="2">
                  <c:v>46648920688.231682</c:v>
                </c:pt>
                <c:pt idx="3">
                  <c:v>50380834343.290222</c:v>
                </c:pt>
                <c:pt idx="4">
                  <c:v>54411301090.753441</c:v>
                </c:pt>
              </c:numCache>
            </c:numRef>
          </c:val>
          <c:extLst>
            <c:ext xmlns:c16="http://schemas.microsoft.com/office/drawing/2014/chart" uri="{C3380CC4-5D6E-409C-BE32-E72D297353CC}">
              <c16:uniqueId val="{00000000-94B4-4EE1-A3D5-373A351B2411}"/>
            </c:ext>
          </c:extLst>
        </c:ser>
        <c:ser>
          <c:idx val="1"/>
          <c:order val="1"/>
          <c:tx>
            <c:strRef>
              <c:f>'P&amp;L Graph'!$B$4</c:f>
              <c:strCache>
                <c:ptCount val="1"/>
                <c:pt idx="0">
                  <c:v>Expenses &amp; Costs</c:v>
                </c:pt>
              </c:strCache>
            </c:strRef>
          </c:tx>
          <c:spPr>
            <a:solidFill>
              <a:schemeClr val="accent2"/>
            </a:solidFill>
            <a:ln>
              <a:noFill/>
            </a:ln>
            <a:effectLst/>
          </c:spPr>
          <c:invertIfNegative val="0"/>
          <c:cat>
            <c:numRef>
              <c:f>'P&amp;L Graph'!$C$2:$G$2</c:f>
              <c:numCache>
                <c:formatCode>General</c:formatCode>
                <c:ptCount val="5"/>
                <c:pt idx="0">
                  <c:v>2025</c:v>
                </c:pt>
                <c:pt idx="1">
                  <c:v>2026</c:v>
                </c:pt>
                <c:pt idx="2">
                  <c:v>2027</c:v>
                </c:pt>
                <c:pt idx="3">
                  <c:v>2028</c:v>
                </c:pt>
                <c:pt idx="4">
                  <c:v>2029</c:v>
                </c:pt>
              </c:numCache>
            </c:numRef>
          </c:cat>
          <c:val>
            <c:numRef>
              <c:f>'P&amp;L Graph'!$C$4:$G$4</c:f>
              <c:numCache>
                <c:formatCode>_(* #,##0.00_);_(* \(#,##0.00\);_(* "-"??_);_(@_)</c:formatCode>
                <c:ptCount val="5"/>
                <c:pt idx="0">
                  <c:v>30621130924.011597</c:v>
                </c:pt>
                <c:pt idx="1">
                  <c:v>32500901406.116447</c:v>
                </c:pt>
                <c:pt idx="2">
                  <c:v>34914057791.519714</c:v>
                </c:pt>
                <c:pt idx="3">
                  <c:v>37156780097.819931</c:v>
                </c:pt>
                <c:pt idx="4">
                  <c:v>39919094630.158012</c:v>
                </c:pt>
              </c:numCache>
            </c:numRef>
          </c:val>
          <c:extLst>
            <c:ext xmlns:c16="http://schemas.microsoft.com/office/drawing/2014/chart" uri="{C3380CC4-5D6E-409C-BE32-E72D297353CC}">
              <c16:uniqueId val="{00000001-94B4-4EE1-A3D5-373A351B2411}"/>
            </c:ext>
          </c:extLst>
        </c:ser>
        <c:ser>
          <c:idx val="2"/>
          <c:order val="2"/>
          <c:tx>
            <c:strRef>
              <c:f>'P&amp;L Graph'!$B$5</c:f>
              <c:strCache>
                <c:ptCount val="1"/>
                <c:pt idx="0">
                  <c:v>Net Profit (Loss)</c:v>
                </c:pt>
              </c:strCache>
            </c:strRef>
          </c:tx>
          <c:spPr>
            <a:solidFill>
              <a:schemeClr val="accent3"/>
            </a:solidFill>
            <a:ln>
              <a:noFill/>
            </a:ln>
            <a:effectLst/>
          </c:spPr>
          <c:invertIfNegative val="0"/>
          <c:cat>
            <c:numRef>
              <c:f>'P&amp;L Graph'!$C$2:$G$2</c:f>
              <c:numCache>
                <c:formatCode>General</c:formatCode>
                <c:ptCount val="5"/>
                <c:pt idx="0">
                  <c:v>2025</c:v>
                </c:pt>
                <c:pt idx="1">
                  <c:v>2026</c:v>
                </c:pt>
                <c:pt idx="2">
                  <c:v>2027</c:v>
                </c:pt>
                <c:pt idx="3">
                  <c:v>2028</c:v>
                </c:pt>
                <c:pt idx="4">
                  <c:v>2029</c:v>
                </c:pt>
              </c:numCache>
            </c:numRef>
          </c:cat>
          <c:val>
            <c:numRef>
              <c:f>'P&amp;L Graph'!$C$5:$G$5</c:f>
              <c:numCache>
                <c:formatCode>_(* #,##0.00_);_(* \(#,##0.00\);_(* "-"??_);_(@_)</c:formatCode>
                <c:ptCount val="5"/>
                <c:pt idx="0">
                  <c:v>9372799707.1884003</c:v>
                </c:pt>
                <c:pt idx="1">
                  <c:v>10692543675.579552</c:v>
                </c:pt>
                <c:pt idx="2">
                  <c:v>11734862896.711966</c:v>
                </c:pt>
                <c:pt idx="3">
                  <c:v>13224054245.470293</c:v>
                </c:pt>
                <c:pt idx="4">
                  <c:v>14492206460.595428</c:v>
                </c:pt>
              </c:numCache>
            </c:numRef>
          </c:val>
          <c:extLst>
            <c:ext xmlns:c16="http://schemas.microsoft.com/office/drawing/2014/chart" uri="{C3380CC4-5D6E-409C-BE32-E72D297353CC}">
              <c16:uniqueId val="{00000002-94B4-4EE1-A3D5-373A351B2411}"/>
            </c:ext>
          </c:extLst>
        </c:ser>
        <c:dLbls>
          <c:showLegendKey val="0"/>
          <c:showVal val="0"/>
          <c:showCatName val="0"/>
          <c:showSerName val="0"/>
          <c:showPercent val="0"/>
          <c:showBubbleSize val="0"/>
        </c:dLbls>
        <c:gapWidth val="219"/>
        <c:overlap val="-27"/>
        <c:axId val="746688255"/>
        <c:axId val="746690175"/>
      </c:barChart>
      <c:catAx>
        <c:axId val="746688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46690175"/>
        <c:crosses val="autoZero"/>
        <c:auto val="1"/>
        <c:lblAlgn val="ctr"/>
        <c:lblOffset val="100"/>
        <c:noMultiLvlLbl val="0"/>
      </c:catAx>
      <c:valAx>
        <c:axId val="746690175"/>
        <c:scaling>
          <c:orientation val="minMax"/>
        </c:scaling>
        <c:delete val="0"/>
        <c:axPos val="l"/>
        <c:majorGridlines>
          <c:spPr>
            <a:ln w="9525" cap="flat" cmpd="sng" algn="ctr">
              <a:solidFill>
                <a:schemeClr val="tx1">
                  <a:lumMod val="15000"/>
                  <a:lumOff val="85000"/>
                </a:schemeClr>
              </a:solidFill>
              <a:round/>
            </a:ln>
            <a:effectLst/>
          </c:spPr>
        </c:majorGridlines>
        <c:numFmt formatCode="_([$TZS]\ * #,##0_);_([$TZS]\ * \(#,##0\);_([$TZS]\ *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46688255"/>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Net Profit (Loss) by Year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'Net Profit Graph'!$B$3</c:f>
              <c:strCache>
                <c:ptCount val="1"/>
                <c:pt idx="0">
                  <c:v>Net Profit (Loss)</c:v>
                </c:pt>
              </c:strCache>
            </c:strRef>
          </c:tx>
          <c:spPr>
            <a:solidFill>
              <a:schemeClr val="accent1"/>
            </a:solidFill>
            <a:ln>
              <a:noFill/>
            </a:ln>
            <a:effectLst/>
          </c:spPr>
          <c:invertIfNegative val="0"/>
          <c:cat>
            <c:numRef>
              <c:f>'Net Profit Graph'!$C$2:$G$2</c:f>
              <c:numCache>
                <c:formatCode>General</c:formatCode>
                <c:ptCount val="5"/>
                <c:pt idx="0">
                  <c:v>2025</c:v>
                </c:pt>
                <c:pt idx="1">
                  <c:v>2026</c:v>
                </c:pt>
                <c:pt idx="2">
                  <c:v>2027</c:v>
                </c:pt>
                <c:pt idx="3">
                  <c:v>2028</c:v>
                </c:pt>
                <c:pt idx="4">
                  <c:v>2029</c:v>
                </c:pt>
              </c:numCache>
            </c:numRef>
          </c:cat>
          <c:val>
            <c:numRef>
              <c:f>'Net Profit Graph'!$C$3:$G$3</c:f>
              <c:numCache>
                <c:formatCode>_(* #,##0.00_);_(* \(#,##0.00\);_(* "-"??_);_(@_)</c:formatCode>
                <c:ptCount val="5"/>
                <c:pt idx="0">
                  <c:v>9372799707.1884003</c:v>
                </c:pt>
                <c:pt idx="1">
                  <c:v>10692543675.579552</c:v>
                </c:pt>
                <c:pt idx="2">
                  <c:v>11734862896.711966</c:v>
                </c:pt>
                <c:pt idx="3">
                  <c:v>13224054245.470293</c:v>
                </c:pt>
                <c:pt idx="4">
                  <c:v>14492206460.595428</c:v>
                </c:pt>
              </c:numCache>
            </c:numRef>
          </c:val>
          <c:extLst>
            <c:ext xmlns:c16="http://schemas.microsoft.com/office/drawing/2014/chart" uri="{C3380CC4-5D6E-409C-BE32-E72D297353CC}">
              <c16:uniqueId val="{00000000-56BA-4F2A-886C-AB19635E9D2C}"/>
            </c:ext>
          </c:extLst>
        </c:ser>
        <c:dLbls>
          <c:showLegendKey val="0"/>
          <c:showVal val="0"/>
          <c:showCatName val="0"/>
          <c:showSerName val="0"/>
          <c:showPercent val="0"/>
          <c:showBubbleSize val="0"/>
        </c:dLbls>
        <c:gapWidth val="219"/>
        <c:overlap val="-27"/>
        <c:axId val="809372383"/>
        <c:axId val="809379103"/>
      </c:barChart>
      <c:catAx>
        <c:axId val="80937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09379103"/>
        <c:crosses val="autoZero"/>
        <c:auto val="1"/>
        <c:lblAlgn val="ctr"/>
        <c:lblOffset val="100"/>
        <c:noMultiLvlLbl val="0"/>
      </c:catAx>
      <c:valAx>
        <c:axId val="809379103"/>
        <c:scaling>
          <c:orientation val="minMax"/>
        </c:scaling>
        <c:delete val="0"/>
        <c:axPos val="l"/>
        <c:majorGridlines>
          <c:spPr>
            <a:ln w="9525" cap="flat" cmpd="sng" algn="ctr">
              <a:solidFill>
                <a:schemeClr val="tx1">
                  <a:lumMod val="15000"/>
                  <a:lumOff val="85000"/>
                </a:schemeClr>
              </a:solidFill>
              <a:round/>
            </a:ln>
            <a:effectLst/>
          </c:spPr>
        </c:majorGridlines>
        <c:numFmt formatCode="[$TZS]\ #,##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09372383"/>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228600</xdr:colOff>
      <xdr:row>4</xdr:row>
      <xdr:rowOff>248580</xdr:rowOff>
    </xdr:from>
    <xdr:ext cx="2750820" cy="1114490"/>
    <xdr:sp macro="" textlink="">
      <xdr:nvSpPr>
        <xdr:cNvPr id="10" name="Rectangle 17">
          <a:extLst>
            <a:ext uri="{FF2B5EF4-FFF2-40B4-BE49-F238E27FC236}">
              <a16:creationId xmlns:a16="http://schemas.microsoft.com/office/drawing/2014/main" id="{F404C2C2-3A2D-4C8D-A1C2-D06984053922}"/>
            </a:ext>
          </a:extLst>
        </xdr:cNvPr>
        <xdr:cNvSpPr>
          <a:spLocks noChangeArrowheads="1"/>
        </xdr:cNvSpPr>
      </xdr:nvSpPr>
      <xdr:spPr bwMode="auto">
        <a:xfrm>
          <a:off x="7757160" y="995340"/>
          <a:ext cx="27508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7169" name="Rectangle 1">
          <a:extLst>
            <a:ext uri="{FF2B5EF4-FFF2-40B4-BE49-F238E27FC236}">
              <a16:creationId xmlns:a16="http://schemas.microsoft.com/office/drawing/2014/main" id="{00000000-0008-0000-0800-0000011C0000}"/>
            </a:ext>
          </a:extLst>
        </xdr:cNvPr>
        <xdr:cNvSpPr>
          <a:spLocks noChangeArrowheads="1"/>
        </xdr:cNvSpPr>
      </xdr:nvSpPr>
      <xdr:spPr bwMode="auto">
        <a:xfrm>
          <a:off x="6934200" y="1552575"/>
          <a:ext cx="283845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933449</xdr:colOff>
      <xdr:row>6</xdr:row>
      <xdr:rowOff>42861</xdr:rowOff>
    </xdr:from>
    <xdr:to>
      <xdr:col>6</xdr:col>
      <xdr:colOff>133349</xdr:colOff>
      <xdr:row>22</xdr:row>
      <xdr:rowOff>200024</xdr:rowOff>
    </xdr:to>
    <xdr:graphicFrame macro="">
      <xdr:nvGraphicFramePr>
        <xdr:cNvPr id="3" name="Chart 2">
          <a:extLst>
            <a:ext uri="{FF2B5EF4-FFF2-40B4-BE49-F238E27FC236}">
              <a16:creationId xmlns:a16="http://schemas.microsoft.com/office/drawing/2014/main" id="{096ADF53-052C-EC97-C2A5-B422EA29E5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957261</xdr:colOff>
      <xdr:row>4</xdr:row>
      <xdr:rowOff>119061</xdr:rowOff>
    </xdr:from>
    <xdr:to>
      <xdr:col>5</xdr:col>
      <xdr:colOff>1104899</xdr:colOff>
      <xdr:row>26</xdr:row>
      <xdr:rowOff>9524</xdr:rowOff>
    </xdr:to>
    <xdr:graphicFrame macro="">
      <xdr:nvGraphicFramePr>
        <xdr:cNvPr id="2" name="Chart 1">
          <a:extLst>
            <a:ext uri="{FF2B5EF4-FFF2-40B4-BE49-F238E27FC236}">
              <a16:creationId xmlns:a16="http://schemas.microsoft.com/office/drawing/2014/main" id="{BD8B2984-10DC-1414-5E20-F171D17644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3B1ABBFA-D3EF-4B4A-9447-284DBDE69C73}"/>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B276157D-B9CD-4D89-9DB8-F475B7EECD89}"/>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674F9937-051A-4A11-887B-461C8CD9C6CB}"/>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0d3fdd230e1d24f1/Maisha%20Co/Loan%20calculator1.xlsx" TargetMode="External"/><Relationship Id="rId1" Type="http://schemas.openxmlformats.org/officeDocument/2006/relationships/externalLinkPath" Target="Loan%20calculato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an calculator"/>
    </sheetNames>
    <sheetDataSet>
      <sheetData sheetId="0">
        <row r="2">
          <cell r="B2" t="str">
            <v>Simple loan calculator</v>
          </cell>
        </row>
        <row r="4">
          <cell r="B4" t="str">
            <v>Loan details</v>
          </cell>
        </row>
        <row r="10">
          <cell r="B10" t="str">
            <v>Loan summary</v>
          </cell>
        </row>
        <row r="12">
          <cell r="D12">
            <v>60</v>
          </cell>
        </row>
        <row r="16">
          <cell r="B16" t="str">
            <v>Pmt no.</v>
          </cell>
          <cell r="C16" t="str">
            <v>Payment
date</v>
          </cell>
          <cell r="D16" t="str">
            <v>Beginning 
balance</v>
          </cell>
          <cell r="E16" t="str">
            <v>Payment</v>
          </cell>
          <cell r="F16" t="str">
            <v>Principal</v>
          </cell>
          <cell r="G16" t="str">
            <v>Interest</v>
          </cell>
          <cell r="H16" t="str">
            <v>Ending 
balance</v>
          </cell>
          <cell r="K16" t="str">
            <v>Grand Total</v>
          </cell>
          <cell r="L16">
            <v>9999.9999999999964</v>
          </cell>
          <cell r="M16">
            <v>3023.1533552576893</v>
          </cell>
          <cell r="N16">
            <v>649597.09569258557</v>
          </cell>
        </row>
        <row r="17">
          <cell r="B17">
            <v>1</v>
          </cell>
        </row>
        <row r="18">
          <cell r="B18">
            <v>2</v>
          </cell>
        </row>
        <row r="19">
          <cell r="B19">
            <v>3</v>
          </cell>
        </row>
        <row r="20">
          <cell r="B20">
            <v>4</v>
          </cell>
        </row>
        <row r="21">
          <cell r="B21">
            <v>5</v>
          </cell>
        </row>
        <row r="22">
          <cell r="B22">
            <v>6</v>
          </cell>
        </row>
        <row r="23">
          <cell r="B23">
            <v>7</v>
          </cell>
        </row>
        <row r="24">
          <cell r="B24">
            <v>8</v>
          </cell>
        </row>
        <row r="25">
          <cell r="B25">
            <v>9</v>
          </cell>
        </row>
        <row r="26">
          <cell r="B26">
            <v>10</v>
          </cell>
        </row>
        <row r="27">
          <cell r="B27">
            <v>11</v>
          </cell>
        </row>
        <row r="28">
          <cell r="B28">
            <v>12</v>
          </cell>
        </row>
        <row r="29">
          <cell r="B29">
            <v>13</v>
          </cell>
        </row>
        <row r="30">
          <cell r="B30">
            <v>14</v>
          </cell>
        </row>
        <row r="31">
          <cell r="B31">
            <v>15</v>
          </cell>
        </row>
        <row r="32">
          <cell r="B32">
            <v>16</v>
          </cell>
        </row>
        <row r="33">
          <cell r="B33">
            <v>17</v>
          </cell>
        </row>
        <row r="34">
          <cell r="B34">
            <v>18</v>
          </cell>
        </row>
        <row r="35">
          <cell r="B35">
            <v>19</v>
          </cell>
        </row>
        <row r="36">
          <cell r="B36">
            <v>20</v>
          </cell>
        </row>
        <row r="37">
          <cell r="B37">
            <v>21</v>
          </cell>
        </row>
        <row r="38">
          <cell r="B38">
            <v>22</v>
          </cell>
        </row>
        <row r="39">
          <cell r="B39">
            <v>23</v>
          </cell>
        </row>
        <row r="40">
          <cell r="B40">
            <v>24</v>
          </cell>
        </row>
        <row r="41">
          <cell r="B41">
            <v>25</v>
          </cell>
        </row>
        <row r="42">
          <cell r="B42">
            <v>26</v>
          </cell>
        </row>
        <row r="43">
          <cell r="B43">
            <v>27</v>
          </cell>
        </row>
        <row r="44">
          <cell r="B44">
            <v>28</v>
          </cell>
        </row>
        <row r="45">
          <cell r="B45">
            <v>29</v>
          </cell>
        </row>
        <row r="46">
          <cell r="B46">
            <v>30</v>
          </cell>
        </row>
        <row r="47">
          <cell r="B47">
            <v>31</v>
          </cell>
        </row>
        <row r="48">
          <cell r="B48">
            <v>32</v>
          </cell>
        </row>
        <row r="49">
          <cell r="B49">
            <v>33</v>
          </cell>
        </row>
        <row r="50">
          <cell r="B50">
            <v>34</v>
          </cell>
        </row>
        <row r="51">
          <cell r="B51">
            <v>35</v>
          </cell>
        </row>
        <row r="52">
          <cell r="B52">
            <v>36</v>
          </cell>
        </row>
        <row r="53">
          <cell r="B53">
            <v>37</v>
          </cell>
        </row>
        <row r="54">
          <cell r="B54">
            <v>38</v>
          </cell>
        </row>
        <row r="55">
          <cell r="B55">
            <v>39</v>
          </cell>
        </row>
        <row r="56">
          <cell r="B56">
            <v>40</v>
          </cell>
        </row>
        <row r="57">
          <cell r="B57">
            <v>41</v>
          </cell>
        </row>
        <row r="58">
          <cell r="B58">
            <v>42</v>
          </cell>
        </row>
        <row r="59">
          <cell r="B59">
            <v>43</v>
          </cell>
        </row>
        <row r="60">
          <cell r="B60">
            <v>44</v>
          </cell>
        </row>
        <row r="61">
          <cell r="B61">
            <v>45</v>
          </cell>
        </row>
        <row r="62">
          <cell r="B62">
            <v>46</v>
          </cell>
        </row>
        <row r="63">
          <cell r="B63">
            <v>47</v>
          </cell>
        </row>
        <row r="64">
          <cell r="B64">
            <v>48</v>
          </cell>
        </row>
        <row r="65">
          <cell r="B65">
            <v>49</v>
          </cell>
        </row>
        <row r="66">
          <cell r="B66">
            <v>50</v>
          </cell>
        </row>
        <row r="67">
          <cell r="B67">
            <v>51</v>
          </cell>
        </row>
        <row r="68">
          <cell r="B68">
            <v>52</v>
          </cell>
        </row>
        <row r="69">
          <cell r="B69">
            <v>53</v>
          </cell>
        </row>
        <row r="70">
          <cell r="B70">
            <v>54</v>
          </cell>
        </row>
        <row r="71">
          <cell r="B71">
            <v>55</v>
          </cell>
        </row>
        <row r="72">
          <cell r="B72">
            <v>56</v>
          </cell>
        </row>
        <row r="73">
          <cell r="B73">
            <v>57</v>
          </cell>
        </row>
        <row r="74">
          <cell r="B74">
            <v>58</v>
          </cell>
        </row>
        <row r="75">
          <cell r="B75">
            <v>59</v>
          </cell>
        </row>
        <row r="76">
          <cell r="B76">
            <v>60</v>
          </cell>
        </row>
        <row r="77">
          <cell r="B77" t="str">
            <v/>
          </cell>
        </row>
        <row r="78">
          <cell r="B78" t="str">
            <v/>
          </cell>
        </row>
        <row r="79">
          <cell r="B79" t="str">
            <v/>
          </cell>
        </row>
        <row r="80">
          <cell r="B80" t="str">
            <v/>
          </cell>
        </row>
        <row r="81">
          <cell r="B81" t="str">
            <v/>
          </cell>
        </row>
        <row r="82">
          <cell r="B82" t="str">
            <v/>
          </cell>
        </row>
        <row r="83">
          <cell r="B83" t="str">
            <v/>
          </cell>
        </row>
        <row r="84">
          <cell r="B84" t="str">
            <v/>
          </cell>
        </row>
        <row r="85">
          <cell r="B85" t="str">
            <v/>
          </cell>
        </row>
        <row r="86">
          <cell r="B86" t="str">
            <v/>
          </cell>
        </row>
        <row r="87">
          <cell r="B87" t="str">
            <v/>
          </cell>
        </row>
        <row r="88">
          <cell r="B88" t="str">
            <v/>
          </cell>
        </row>
        <row r="89">
          <cell r="B89" t="str">
            <v/>
          </cell>
        </row>
        <row r="90">
          <cell r="B90" t="str">
            <v/>
          </cell>
        </row>
        <row r="91">
          <cell r="B91" t="str">
            <v/>
          </cell>
        </row>
        <row r="92">
          <cell r="B92" t="str">
            <v/>
          </cell>
        </row>
        <row r="93">
          <cell r="B93" t="str">
            <v/>
          </cell>
        </row>
        <row r="94">
          <cell r="B94" t="str">
            <v/>
          </cell>
        </row>
        <row r="95">
          <cell r="B95" t="str">
            <v/>
          </cell>
        </row>
        <row r="96">
          <cell r="B96" t="str">
            <v/>
          </cell>
        </row>
        <row r="97">
          <cell r="B97" t="str">
            <v/>
          </cell>
        </row>
        <row r="98">
          <cell r="B98" t="str">
            <v/>
          </cell>
        </row>
        <row r="99">
          <cell r="B99" t="str">
            <v/>
          </cell>
        </row>
        <row r="100">
          <cell r="B100" t="str">
            <v/>
          </cell>
        </row>
        <row r="101">
          <cell r="B101" t="str">
            <v/>
          </cell>
        </row>
        <row r="102">
          <cell r="B102" t="str">
            <v/>
          </cell>
        </row>
        <row r="103">
          <cell r="B103" t="str">
            <v/>
          </cell>
        </row>
        <row r="104">
          <cell r="B104" t="str">
            <v/>
          </cell>
        </row>
        <row r="105">
          <cell r="B105" t="str">
            <v/>
          </cell>
        </row>
        <row r="106">
          <cell r="B106" t="str">
            <v/>
          </cell>
        </row>
        <row r="107">
          <cell r="B107" t="str">
            <v/>
          </cell>
        </row>
        <row r="108">
          <cell r="B108" t="str">
            <v/>
          </cell>
        </row>
        <row r="109">
          <cell r="B109" t="str">
            <v/>
          </cell>
        </row>
        <row r="110">
          <cell r="B110" t="str">
            <v/>
          </cell>
        </row>
        <row r="111">
          <cell r="B111" t="str">
            <v/>
          </cell>
        </row>
        <row r="112">
          <cell r="B112" t="str">
            <v/>
          </cell>
        </row>
        <row r="113">
          <cell r="B113" t="str">
            <v/>
          </cell>
        </row>
        <row r="114">
          <cell r="B114" t="str">
            <v/>
          </cell>
        </row>
        <row r="115">
          <cell r="B115" t="str">
            <v/>
          </cell>
        </row>
        <row r="116">
          <cell r="B116" t="str">
            <v/>
          </cell>
        </row>
        <row r="117">
          <cell r="B117" t="str">
            <v/>
          </cell>
        </row>
        <row r="118">
          <cell r="B118" t="str">
            <v/>
          </cell>
        </row>
        <row r="119">
          <cell r="B119" t="str">
            <v/>
          </cell>
        </row>
        <row r="120">
          <cell r="B120" t="str">
            <v/>
          </cell>
        </row>
        <row r="121">
          <cell r="B121" t="str">
            <v/>
          </cell>
        </row>
        <row r="122">
          <cell r="B122" t="str">
            <v/>
          </cell>
        </row>
        <row r="123">
          <cell r="B123" t="str">
            <v/>
          </cell>
        </row>
        <row r="124">
          <cell r="B124" t="str">
            <v/>
          </cell>
        </row>
        <row r="125">
          <cell r="B125" t="str">
            <v/>
          </cell>
        </row>
        <row r="126">
          <cell r="B126" t="str">
            <v/>
          </cell>
        </row>
        <row r="127">
          <cell r="B127" t="str">
            <v/>
          </cell>
        </row>
        <row r="128">
          <cell r="B128" t="str">
            <v/>
          </cell>
        </row>
        <row r="129">
          <cell r="B129" t="str">
            <v/>
          </cell>
        </row>
        <row r="130">
          <cell r="B130" t="str">
            <v/>
          </cell>
        </row>
        <row r="131">
          <cell r="B131" t="str">
            <v/>
          </cell>
        </row>
        <row r="132">
          <cell r="B132" t="str">
            <v/>
          </cell>
        </row>
        <row r="133">
          <cell r="B133" t="str">
            <v/>
          </cell>
        </row>
        <row r="134">
          <cell r="B134" t="str">
            <v/>
          </cell>
        </row>
        <row r="135">
          <cell r="B135" t="str">
            <v/>
          </cell>
        </row>
        <row r="136">
          <cell r="B136" t="str">
            <v/>
          </cell>
        </row>
      </sheetData>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xcel-skills.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62"/>
  <sheetViews>
    <sheetView zoomScaleNormal="100" workbookViewId="0">
      <pane ySplit="3" topLeftCell="A190" activePane="bottomLeft" state="frozen"/>
      <selection pane="bottomLeft"/>
    </sheetView>
  </sheetViews>
  <sheetFormatPr defaultColWidth="9.140625" defaultRowHeight="12.75" x14ac:dyDescent="0.2"/>
  <cols>
    <col min="1" max="1" width="109.7109375" style="130" customWidth="1"/>
    <col min="2" max="2" width="50.7109375" style="127" customWidth="1"/>
    <col min="3" max="19" width="20.7109375" style="127" customWidth="1"/>
    <col min="20" max="16384" width="9.140625" style="127"/>
  </cols>
  <sheetData>
    <row r="1" spans="1:1" ht="15.75" x14ac:dyDescent="0.25">
      <c r="A1" s="135" t="s">
        <v>26</v>
      </c>
    </row>
    <row r="2" spans="1:1" ht="15" customHeight="1" x14ac:dyDescent="0.2">
      <c r="A2" s="128" t="s">
        <v>27</v>
      </c>
    </row>
    <row r="3" spans="1:1" ht="15" customHeight="1" x14ac:dyDescent="0.2">
      <c r="A3" s="136" t="s">
        <v>8</v>
      </c>
    </row>
    <row r="4" spans="1:1" x14ac:dyDescent="0.2">
      <c r="A4" s="129"/>
    </row>
    <row r="5" spans="1:1" ht="63.75" x14ac:dyDescent="0.2">
      <c r="A5" s="130" t="s">
        <v>229</v>
      </c>
    </row>
    <row r="7" spans="1:1" ht="25.5" x14ac:dyDescent="0.2">
      <c r="A7" s="131" t="s">
        <v>394</v>
      </c>
    </row>
    <row r="9" spans="1:1" x14ac:dyDescent="0.2">
      <c r="A9" s="130" t="s">
        <v>39</v>
      </c>
    </row>
    <row r="10" spans="1:1" x14ac:dyDescent="0.2">
      <c r="A10" s="132" t="s">
        <v>377</v>
      </c>
    </row>
    <row r="11" spans="1:1" ht="51" x14ac:dyDescent="0.2">
      <c r="A11" s="132" t="s">
        <v>381</v>
      </c>
    </row>
    <row r="12" spans="1:1" x14ac:dyDescent="0.2">
      <c r="A12" s="132" t="s">
        <v>378</v>
      </c>
    </row>
    <row r="13" spans="1:1" ht="25.5" x14ac:dyDescent="0.2">
      <c r="A13" s="132" t="s">
        <v>379</v>
      </c>
    </row>
    <row r="14" spans="1:1" ht="38.25" x14ac:dyDescent="0.2">
      <c r="A14" s="132" t="s">
        <v>380</v>
      </c>
    </row>
    <row r="16" spans="1:1" ht="38.25" x14ac:dyDescent="0.2">
      <c r="A16" s="131" t="s">
        <v>230</v>
      </c>
    </row>
    <row r="18" spans="1:1" x14ac:dyDescent="0.2">
      <c r="A18" s="132" t="s">
        <v>231</v>
      </c>
    </row>
    <row r="20" spans="1:1" x14ac:dyDescent="0.2">
      <c r="A20" s="131" t="s">
        <v>232</v>
      </c>
    </row>
    <row r="22" spans="1:1" ht="51" x14ac:dyDescent="0.2">
      <c r="A22" s="130" t="s">
        <v>332</v>
      </c>
    </row>
    <row r="24" spans="1:1" x14ac:dyDescent="0.2">
      <c r="A24" s="131" t="s">
        <v>233</v>
      </c>
    </row>
    <row r="25" spans="1:1" x14ac:dyDescent="0.2">
      <c r="A25" s="131"/>
    </row>
    <row r="26" spans="1:1" ht="51" x14ac:dyDescent="0.2">
      <c r="A26" s="130" t="s">
        <v>335</v>
      </c>
    </row>
    <row r="28" spans="1:1" x14ac:dyDescent="0.2">
      <c r="A28" s="132" t="s">
        <v>65</v>
      </c>
    </row>
    <row r="30" spans="1:1" x14ac:dyDescent="0.2">
      <c r="A30" s="130" t="s">
        <v>333</v>
      </c>
    </row>
    <row r="32" spans="1:1" x14ac:dyDescent="0.2">
      <c r="A32" s="131" t="s">
        <v>234</v>
      </c>
    </row>
    <row r="34" spans="1:1" ht="38.25" x14ac:dyDescent="0.2">
      <c r="A34" s="130" t="s">
        <v>334</v>
      </c>
    </row>
    <row r="36" spans="1:1" ht="38.25" x14ac:dyDescent="0.2">
      <c r="A36" s="130" t="s">
        <v>235</v>
      </c>
    </row>
    <row r="38" spans="1:1" ht="51" x14ac:dyDescent="0.2">
      <c r="A38" s="130" t="s">
        <v>236</v>
      </c>
    </row>
    <row r="40" spans="1:1" ht="38.25" x14ac:dyDescent="0.2">
      <c r="A40" s="131" t="s">
        <v>237</v>
      </c>
    </row>
    <row r="41" spans="1:1" x14ac:dyDescent="0.2">
      <c r="A41" s="131"/>
    </row>
    <row r="42" spans="1:1" ht="38.25" x14ac:dyDescent="0.2">
      <c r="A42" s="131" t="s">
        <v>238</v>
      </c>
    </row>
    <row r="44" spans="1:1" x14ac:dyDescent="0.2">
      <c r="A44" s="131" t="s">
        <v>214</v>
      </c>
    </row>
    <row r="46" spans="1:1" ht="38.25" x14ac:dyDescent="0.2">
      <c r="A46" s="130" t="s">
        <v>382</v>
      </c>
    </row>
    <row r="48" spans="1:1" ht="25.5" x14ac:dyDescent="0.2">
      <c r="A48" s="130" t="s">
        <v>239</v>
      </c>
    </row>
    <row r="50" spans="1:1" x14ac:dyDescent="0.2">
      <c r="A50" s="131" t="s">
        <v>72</v>
      </c>
    </row>
    <row r="51" spans="1:1" s="130" customFormat="1" x14ac:dyDescent="0.2"/>
    <row r="52" spans="1:1" ht="51" x14ac:dyDescent="0.2">
      <c r="A52" s="130" t="s">
        <v>344</v>
      </c>
    </row>
    <row r="54" spans="1:1" ht="25.5" x14ac:dyDescent="0.2">
      <c r="A54" s="130" t="s">
        <v>240</v>
      </c>
    </row>
    <row r="56" spans="1:1" ht="38.25" x14ac:dyDescent="0.2">
      <c r="A56" s="131" t="s">
        <v>241</v>
      </c>
    </row>
    <row r="58" spans="1:1" x14ac:dyDescent="0.2">
      <c r="A58" s="131" t="s">
        <v>74</v>
      </c>
    </row>
    <row r="60" spans="1:1" ht="38.25" x14ac:dyDescent="0.2">
      <c r="A60" s="130" t="s">
        <v>345</v>
      </c>
    </row>
    <row r="62" spans="1:1" ht="25.5" x14ac:dyDescent="0.2">
      <c r="A62" s="130" t="s">
        <v>242</v>
      </c>
    </row>
    <row r="64" spans="1:1" ht="38.25" x14ac:dyDescent="0.2">
      <c r="A64" s="131" t="s">
        <v>241</v>
      </c>
    </row>
    <row r="66" spans="1:1" ht="51" x14ac:dyDescent="0.2">
      <c r="A66" s="131" t="s">
        <v>243</v>
      </c>
    </row>
    <row r="68" spans="1:1" x14ac:dyDescent="0.2">
      <c r="A68" s="131" t="s">
        <v>75</v>
      </c>
    </row>
    <row r="70" spans="1:1" ht="51" x14ac:dyDescent="0.2">
      <c r="A70" s="130" t="s">
        <v>346</v>
      </c>
    </row>
    <row r="72" spans="1:1" ht="38.25" x14ac:dyDescent="0.2">
      <c r="A72" s="130" t="s">
        <v>383</v>
      </c>
    </row>
    <row r="74" spans="1:1" ht="25.5" x14ac:dyDescent="0.2">
      <c r="A74" s="130" t="s">
        <v>347</v>
      </c>
    </row>
    <row r="76" spans="1:1" ht="76.5" x14ac:dyDescent="0.2">
      <c r="A76" s="130" t="s">
        <v>244</v>
      </c>
    </row>
    <row r="78" spans="1:1" x14ac:dyDescent="0.2">
      <c r="A78" s="131" t="s">
        <v>106</v>
      </c>
    </row>
    <row r="80" spans="1:1" ht="38.25" x14ac:dyDescent="0.2">
      <c r="A80" s="130" t="s">
        <v>245</v>
      </c>
    </row>
    <row r="82" spans="1:1" ht="25.5" x14ac:dyDescent="0.2">
      <c r="A82" s="130" t="s">
        <v>348</v>
      </c>
    </row>
    <row r="84" spans="1:1" ht="51" x14ac:dyDescent="0.2">
      <c r="A84" s="130" t="s">
        <v>246</v>
      </c>
    </row>
    <row r="86" spans="1:1" ht="38.25" x14ac:dyDescent="0.2">
      <c r="A86" s="130" t="s">
        <v>349</v>
      </c>
    </row>
    <row r="88" spans="1:1" ht="51" x14ac:dyDescent="0.2">
      <c r="A88" s="130" t="s">
        <v>247</v>
      </c>
    </row>
    <row r="90" spans="1:1" ht="89.25" x14ac:dyDescent="0.2">
      <c r="A90" s="130" t="s">
        <v>350</v>
      </c>
    </row>
    <row r="92" spans="1:1" x14ac:dyDescent="0.2">
      <c r="A92" s="131" t="s">
        <v>19</v>
      </c>
    </row>
    <row r="94" spans="1:1" ht="38.25" x14ac:dyDescent="0.2">
      <c r="A94" s="130" t="s">
        <v>248</v>
      </c>
    </row>
    <row r="96" spans="1:1" ht="51" x14ac:dyDescent="0.2">
      <c r="A96" s="130" t="s">
        <v>384</v>
      </c>
    </row>
    <row r="98" spans="1:1" ht="63.75" x14ac:dyDescent="0.2">
      <c r="A98" s="130" t="s">
        <v>374</v>
      </c>
    </row>
    <row r="100" spans="1:1" ht="51" x14ac:dyDescent="0.2">
      <c r="A100" s="130" t="s">
        <v>249</v>
      </c>
    </row>
    <row r="102" spans="1:1" ht="38.25" x14ac:dyDescent="0.2">
      <c r="A102" s="131" t="s">
        <v>250</v>
      </c>
    </row>
    <row r="104" spans="1:1" ht="38.25" x14ac:dyDescent="0.2">
      <c r="A104" s="131" t="s">
        <v>251</v>
      </c>
    </row>
    <row r="106" spans="1:1" x14ac:dyDescent="0.2">
      <c r="A106" s="131" t="s">
        <v>216</v>
      </c>
    </row>
    <row r="108" spans="1:1" ht="25.5" x14ac:dyDescent="0.2">
      <c r="A108" s="130" t="s">
        <v>252</v>
      </c>
    </row>
    <row r="110" spans="1:1" ht="63.75" x14ac:dyDescent="0.2">
      <c r="A110" s="130" t="s">
        <v>253</v>
      </c>
    </row>
    <row r="112" spans="1:1" ht="51" x14ac:dyDescent="0.2">
      <c r="A112" s="130" t="s">
        <v>254</v>
      </c>
    </row>
    <row r="114" spans="1:1" ht="38.25" x14ac:dyDescent="0.2">
      <c r="A114" s="131" t="s">
        <v>255</v>
      </c>
    </row>
    <row r="116" spans="1:1" ht="51" x14ac:dyDescent="0.2">
      <c r="A116" s="131" t="s">
        <v>385</v>
      </c>
    </row>
    <row r="118" spans="1:1" x14ac:dyDescent="0.2">
      <c r="A118" s="132" t="s">
        <v>15</v>
      </c>
    </row>
    <row r="120" spans="1:1" s="133" customFormat="1" x14ac:dyDescent="0.2">
      <c r="A120" s="130" t="s">
        <v>256</v>
      </c>
    </row>
    <row r="121" spans="1:1" s="133" customFormat="1" x14ac:dyDescent="0.2">
      <c r="A121" s="130"/>
    </row>
    <row r="122" spans="1:1" s="133" customFormat="1" x14ac:dyDescent="0.2">
      <c r="A122" s="131" t="s">
        <v>257</v>
      </c>
    </row>
    <row r="123" spans="1:1" x14ac:dyDescent="0.2">
      <c r="A123" s="131"/>
    </row>
    <row r="124" spans="1:1" ht="38.25" x14ac:dyDescent="0.2">
      <c r="A124" s="130" t="s">
        <v>258</v>
      </c>
    </row>
    <row r="125" spans="1:1" x14ac:dyDescent="0.2">
      <c r="A125" s="131"/>
    </row>
    <row r="126" spans="1:1" ht="51" x14ac:dyDescent="0.2">
      <c r="A126" s="130" t="s">
        <v>259</v>
      </c>
    </row>
    <row r="128" spans="1:1" ht="38.25" x14ac:dyDescent="0.2">
      <c r="A128" s="130" t="s">
        <v>260</v>
      </c>
    </row>
    <row r="130" spans="1:1" ht="25.5" x14ac:dyDescent="0.2">
      <c r="A130" s="131" t="s">
        <v>261</v>
      </c>
    </row>
    <row r="132" spans="1:1" x14ac:dyDescent="0.2">
      <c r="A132" s="131" t="s">
        <v>196</v>
      </c>
    </row>
    <row r="134" spans="1:1" ht="38.25" x14ac:dyDescent="0.2">
      <c r="A134" s="130" t="s">
        <v>351</v>
      </c>
    </row>
    <row r="136" spans="1:1" ht="63.75" x14ac:dyDescent="0.2">
      <c r="A136" s="130" t="s">
        <v>352</v>
      </c>
    </row>
    <row r="138" spans="1:1" ht="25.5" x14ac:dyDescent="0.2">
      <c r="A138" s="131" t="s">
        <v>353</v>
      </c>
    </row>
    <row r="140" spans="1:1" x14ac:dyDescent="0.2">
      <c r="A140" s="131" t="s">
        <v>262</v>
      </c>
    </row>
    <row r="142" spans="1:1" ht="38.25" x14ac:dyDescent="0.2">
      <c r="A142" s="130" t="s">
        <v>354</v>
      </c>
    </row>
    <row r="144" spans="1:1" ht="25.5" x14ac:dyDescent="0.2">
      <c r="A144" s="131" t="s">
        <v>263</v>
      </c>
    </row>
    <row r="146" spans="1:1" ht="38.25" x14ac:dyDescent="0.2">
      <c r="A146" s="130" t="s">
        <v>336</v>
      </c>
    </row>
    <row r="148" spans="1:1" x14ac:dyDescent="0.2">
      <c r="A148" s="131" t="s">
        <v>264</v>
      </c>
    </row>
    <row r="150" spans="1:1" ht="51" x14ac:dyDescent="0.2">
      <c r="A150" s="130" t="s">
        <v>355</v>
      </c>
    </row>
    <row r="152" spans="1:1" ht="38.25" x14ac:dyDescent="0.2">
      <c r="A152" s="130" t="s">
        <v>337</v>
      </c>
    </row>
    <row r="154" spans="1:1" ht="51" x14ac:dyDescent="0.2">
      <c r="A154" s="130" t="s">
        <v>265</v>
      </c>
    </row>
    <row r="156" spans="1:1" ht="51" x14ac:dyDescent="0.2">
      <c r="A156" s="131" t="s">
        <v>266</v>
      </c>
    </row>
    <row r="158" spans="1:1" ht="38.25" x14ac:dyDescent="0.2">
      <c r="A158" s="131" t="s">
        <v>267</v>
      </c>
    </row>
    <row r="160" spans="1:1" ht="25.5" x14ac:dyDescent="0.2">
      <c r="A160" s="131" t="s">
        <v>268</v>
      </c>
    </row>
    <row r="162" spans="1:1" ht="38.25" x14ac:dyDescent="0.2">
      <c r="A162" s="130" t="s">
        <v>338</v>
      </c>
    </row>
    <row r="164" spans="1:1" x14ac:dyDescent="0.2">
      <c r="A164" s="131" t="s">
        <v>269</v>
      </c>
    </row>
    <row r="166" spans="1:1" ht="63.75" x14ac:dyDescent="0.2">
      <c r="A166" s="130" t="s">
        <v>356</v>
      </c>
    </row>
    <row r="168" spans="1:1" ht="25.5" x14ac:dyDescent="0.2">
      <c r="A168" s="131" t="s">
        <v>357</v>
      </c>
    </row>
    <row r="170" spans="1:1" x14ac:dyDescent="0.2">
      <c r="A170" s="131" t="s">
        <v>270</v>
      </c>
    </row>
    <row r="172" spans="1:1" ht="38.25" x14ac:dyDescent="0.2">
      <c r="A172" s="130" t="s">
        <v>271</v>
      </c>
    </row>
    <row r="174" spans="1:1" x14ac:dyDescent="0.2">
      <c r="A174" s="131" t="s">
        <v>272</v>
      </c>
    </row>
    <row r="176" spans="1:1" ht="63.75" x14ac:dyDescent="0.2">
      <c r="A176" s="130" t="s">
        <v>358</v>
      </c>
    </row>
    <row r="178" spans="1:1" x14ac:dyDescent="0.2">
      <c r="A178" s="131" t="s">
        <v>273</v>
      </c>
    </row>
    <row r="180" spans="1:1" ht="25.5" x14ac:dyDescent="0.2">
      <c r="A180" s="130" t="s">
        <v>274</v>
      </c>
    </row>
    <row r="182" spans="1:1" x14ac:dyDescent="0.2">
      <c r="A182" s="131" t="s">
        <v>275</v>
      </c>
    </row>
    <row r="184" spans="1:1" ht="51" x14ac:dyDescent="0.2">
      <c r="A184" s="130" t="s">
        <v>276</v>
      </c>
    </row>
    <row r="186" spans="1:1" ht="51" x14ac:dyDescent="0.2">
      <c r="A186" s="131" t="s">
        <v>277</v>
      </c>
    </row>
    <row r="188" spans="1:1" ht="51" x14ac:dyDescent="0.2">
      <c r="A188" s="130" t="s">
        <v>386</v>
      </c>
    </row>
    <row r="190" spans="1:1" ht="38.25" x14ac:dyDescent="0.2">
      <c r="A190" s="131" t="s">
        <v>278</v>
      </c>
    </row>
    <row r="192" spans="1:1" ht="51" x14ac:dyDescent="0.2">
      <c r="A192" s="130" t="s">
        <v>359</v>
      </c>
    </row>
    <row r="194" spans="1:1" ht="38.25" x14ac:dyDescent="0.2">
      <c r="A194" s="130" t="s">
        <v>369</v>
      </c>
    </row>
    <row r="195" spans="1:1" x14ac:dyDescent="0.2">
      <c r="A195" s="132"/>
    </row>
    <row r="196" spans="1:1" x14ac:dyDescent="0.2">
      <c r="A196" s="131" t="s">
        <v>279</v>
      </c>
    </row>
    <row r="197" spans="1:1" x14ac:dyDescent="0.2">
      <c r="A197" s="131"/>
    </row>
    <row r="198" spans="1:1" ht="38.25" x14ac:dyDescent="0.2">
      <c r="A198" s="130" t="s">
        <v>339</v>
      </c>
    </row>
    <row r="199" spans="1:1" x14ac:dyDescent="0.2">
      <c r="A199" s="131"/>
    </row>
    <row r="200" spans="1:1" x14ac:dyDescent="0.2">
      <c r="A200" s="131" t="s">
        <v>280</v>
      </c>
    </row>
    <row r="201" spans="1:1" x14ac:dyDescent="0.2">
      <c r="A201" s="131"/>
    </row>
    <row r="202" spans="1:1" ht="38.25" x14ac:dyDescent="0.2">
      <c r="A202" s="130" t="s">
        <v>281</v>
      </c>
    </row>
    <row r="204" spans="1:1" ht="63.75" x14ac:dyDescent="0.2">
      <c r="A204" s="130" t="s">
        <v>360</v>
      </c>
    </row>
    <row r="206" spans="1:1" ht="51" x14ac:dyDescent="0.2">
      <c r="A206" s="131" t="s">
        <v>282</v>
      </c>
    </row>
    <row r="207" spans="1:1" x14ac:dyDescent="0.2">
      <c r="A207" s="131"/>
    </row>
    <row r="208" spans="1:1" ht="38.25" x14ac:dyDescent="0.2">
      <c r="A208" s="130" t="s">
        <v>283</v>
      </c>
    </row>
    <row r="210" spans="1:1" ht="38.25" x14ac:dyDescent="0.2">
      <c r="A210" s="130" t="s">
        <v>361</v>
      </c>
    </row>
    <row r="212" spans="1:1" ht="38.25" x14ac:dyDescent="0.2">
      <c r="A212" s="130" t="s">
        <v>340</v>
      </c>
    </row>
    <row r="214" spans="1:1" ht="51" x14ac:dyDescent="0.2">
      <c r="A214" s="130" t="s">
        <v>284</v>
      </c>
    </row>
    <row r="216" spans="1:1" ht="63.75" x14ac:dyDescent="0.2">
      <c r="A216" s="131" t="s">
        <v>285</v>
      </c>
    </row>
    <row r="218" spans="1:1" ht="51" x14ac:dyDescent="0.2">
      <c r="A218" s="131" t="s">
        <v>286</v>
      </c>
    </row>
    <row r="220" spans="1:1" ht="25.5" x14ac:dyDescent="0.2">
      <c r="A220" s="131" t="s">
        <v>287</v>
      </c>
    </row>
    <row r="222" spans="1:1" ht="38.25" x14ac:dyDescent="0.2">
      <c r="A222" s="130" t="s">
        <v>341</v>
      </c>
    </row>
    <row r="224" spans="1:1" x14ac:dyDescent="0.2">
      <c r="A224" s="131" t="s">
        <v>288</v>
      </c>
    </row>
    <row r="226" spans="1:1" ht="51" x14ac:dyDescent="0.2">
      <c r="A226" s="130" t="s">
        <v>289</v>
      </c>
    </row>
    <row r="228" spans="1:1" ht="51" x14ac:dyDescent="0.2">
      <c r="A228" s="130" t="s">
        <v>290</v>
      </c>
    </row>
    <row r="230" spans="1:1" ht="38.25" x14ac:dyDescent="0.2">
      <c r="A230" s="130" t="s">
        <v>291</v>
      </c>
    </row>
    <row r="232" spans="1:1" ht="51" x14ac:dyDescent="0.2">
      <c r="A232" s="130" t="s">
        <v>292</v>
      </c>
    </row>
    <row r="234" spans="1:1" ht="38.25" x14ac:dyDescent="0.2">
      <c r="A234" s="131" t="s">
        <v>293</v>
      </c>
    </row>
    <row r="236" spans="1:1" ht="25.5" x14ac:dyDescent="0.2">
      <c r="A236" s="131" t="s">
        <v>294</v>
      </c>
    </row>
    <row r="238" spans="1:1" ht="38.25" x14ac:dyDescent="0.2">
      <c r="A238" s="130" t="s">
        <v>295</v>
      </c>
    </row>
    <row r="240" spans="1:1" ht="63.75" x14ac:dyDescent="0.2">
      <c r="A240" s="131" t="s">
        <v>342</v>
      </c>
    </row>
    <row r="242" spans="1:1" ht="51" x14ac:dyDescent="0.2">
      <c r="A242" s="130" t="s">
        <v>296</v>
      </c>
    </row>
    <row r="244" spans="1:1" ht="25.5" x14ac:dyDescent="0.2">
      <c r="A244" s="130" t="s">
        <v>297</v>
      </c>
    </row>
    <row r="246" spans="1:1" ht="25.5" x14ac:dyDescent="0.2">
      <c r="A246" s="131" t="s">
        <v>298</v>
      </c>
    </row>
    <row r="248" spans="1:1" ht="38.25" x14ac:dyDescent="0.2">
      <c r="A248" s="131" t="s">
        <v>299</v>
      </c>
    </row>
    <row r="249" spans="1:1" x14ac:dyDescent="0.2">
      <c r="A249" s="131"/>
    </row>
    <row r="250" spans="1:1" ht="25.5" x14ac:dyDescent="0.2">
      <c r="A250" s="130" t="s">
        <v>375</v>
      </c>
    </row>
    <row r="252" spans="1:1" x14ac:dyDescent="0.2">
      <c r="A252" s="131" t="s">
        <v>300</v>
      </c>
    </row>
    <row r="254" spans="1:1" ht="51" x14ac:dyDescent="0.2">
      <c r="A254" s="130" t="s">
        <v>301</v>
      </c>
    </row>
    <row r="256" spans="1:1" ht="38.25" x14ac:dyDescent="0.2">
      <c r="A256" s="130" t="s">
        <v>302</v>
      </c>
    </row>
    <row r="258" spans="1:1" ht="63.75" x14ac:dyDescent="0.2">
      <c r="A258" s="130" t="s">
        <v>363</v>
      </c>
    </row>
    <row r="260" spans="1:1" ht="51" x14ac:dyDescent="0.2">
      <c r="A260" s="130" t="s">
        <v>303</v>
      </c>
    </row>
    <row r="262" spans="1:1" ht="51" x14ac:dyDescent="0.2">
      <c r="A262" s="131" t="s">
        <v>304</v>
      </c>
    </row>
    <row r="264" spans="1:1" ht="51" x14ac:dyDescent="0.2">
      <c r="A264" s="130" t="s">
        <v>364</v>
      </c>
    </row>
    <row r="266" spans="1:1" ht="38.25" x14ac:dyDescent="0.2">
      <c r="A266" s="130" t="s">
        <v>305</v>
      </c>
    </row>
    <row r="268" spans="1:1" ht="38.25" x14ac:dyDescent="0.2">
      <c r="A268" s="131" t="s">
        <v>306</v>
      </c>
    </row>
    <row r="270" spans="1:1" ht="51" x14ac:dyDescent="0.2">
      <c r="A270" s="131" t="s">
        <v>387</v>
      </c>
    </row>
    <row r="272" spans="1:1" ht="38.25" x14ac:dyDescent="0.2">
      <c r="A272" s="131" t="s">
        <v>307</v>
      </c>
    </row>
    <row r="274" spans="1:1" ht="51" x14ac:dyDescent="0.2">
      <c r="A274" s="130" t="s">
        <v>343</v>
      </c>
    </row>
    <row r="276" spans="1:1" ht="25.5" x14ac:dyDescent="0.2">
      <c r="A276" s="130" t="s">
        <v>388</v>
      </c>
    </row>
    <row r="278" spans="1:1" x14ac:dyDescent="0.2">
      <c r="A278" s="131" t="s">
        <v>308</v>
      </c>
    </row>
    <row r="280" spans="1:1" ht="63.75" x14ac:dyDescent="0.2">
      <c r="A280" s="130" t="s">
        <v>365</v>
      </c>
    </row>
    <row r="282" spans="1:1" x14ac:dyDescent="0.2">
      <c r="A282" s="131" t="s">
        <v>309</v>
      </c>
    </row>
    <row r="284" spans="1:1" ht="25.5" x14ac:dyDescent="0.2">
      <c r="A284" s="130" t="s">
        <v>310</v>
      </c>
    </row>
    <row r="286" spans="1:1" ht="51" x14ac:dyDescent="0.2">
      <c r="A286" s="130" t="s">
        <v>366</v>
      </c>
    </row>
    <row r="288" spans="1:1" ht="38.25" x14ac:dyDescent="0.2">
      <c r="A288" s="130" t="s">
        <v>311</v>
      </c>
    </row>
    <row r="290" spans="1:1" ht="51" x14ac:dyDescent="0.2">
      <c r="A290" s="130" t="s">
        <v>312</v>
      </c>
    </row>
    <row r="292" spans="1:1" ht="51" x14ac:dyDescent="0.2">
      <c r="A292" s="131" t="s">
        <v>376</v>
      </c>
    </row>
    <row r="294" spans="1:1" ht="51" x14ac:dyDescent="0.2">
      <c r="A294" s="130" t="s">
        <v>313</v>
      </c>
    </row>
    <row r="296" spans="1:1" ht="38.25" x14ac:dyDescent="0.2">
      <c r="A296" s="130" t="s">
        <v>314</v>
      </c>
    </row>
    <row r="298" spans="1:1" ht="38.25" x14ac:dyDescent="0.2">
      <c r="A298" s="131" t="s">
        <v>315</v>
      </c>
    </row>
    <row r="299" spans="1:1" x14ac:dyDescent="0.2">
      <c r="A299" s="131"/>
    </row>
    <row r="300" spans="1:1" ht="63.75" x14ac:dyDescent="0.2">
      <c r="A300" s="131" t="s">
        <v>389</v>
      </c>
    </row>
    <row r="301" spans="1:1" x14ac:dyDescent="0.2">
      <c r="A301" s="131"/>
    </row>
    <row r="302" spans="1:1" ht="89.25" x14ac:dyDescent="0.2">
      <c r="A302" s="131" t="s">
        <v>390</v>
      </c>
    </row>
    <row r="303" spans="1:1" x14ac:dyDescent="0.2">
      <c r="A303" s="131"/>
    </row>
    <row r="304" spans="1:1" ht="38.25" x14ac:dyDescent="0.2">
      <c r="A304" s="130" t="s">
        <v>367</v>
      </c>
    </row>
    <row r="306" spans="1:1" x14ac:dyDescent="0.2">
      <c r="A306" s="131" t="s">
        <v>316</v>
      </c>
    </row>
    <row r="308" spans="1:1" ht="51" x14ac:dyDescent="0.2">
      <c r="A308" s="130" t="s">
        <v>317</v>
      </c>
    </row>
    <row r="310" spans="1:1" ht="25.5" x14ac:dyDescent="0.2">
      <c r="A310" s="130" t="s">
        <v>391</v>
      </c>
    </row>
    <row r="312" spans="1:1" ht="51" x14ac:dyDescent="0.2">
      <c r="A312" s="130" t="s">
        <v>318</v>
      </c>
    </row>
    <row r="314" spans="1:1" ht="76.5" x14ac:dyDescent="0.2">
      <c r="A314" s="131" t="s">
        <v>319</v>
      </c>
    </row>
    <row r="316" spans="1:1" ht="38.25" x14ac:dyDescent="0.2">
      <c r="A316" s="130" t="s">
        <v>320</v>
      </c>
    </row>
    <row r="318" spans="1:1" ht="38.25" x14ac:dyDescent="0.2">
      <c r="A318" s="130" t="s">
        <v>321</v>
      </c>
    </row>
    <row r="320" spans="1:1" ht="38.25" x14ac:dyDescent="0.2">
      <c r="A320" s="130" t="s">
        <v>322</v>
      </c>
    </row>
    <row r="322" spans="1:1" ht="38.25" x14ac:dyDescent="0.2">
      <c r="A322" s="130" t="s">
        <v>392</v>
      </c>
    </row>
    <row r="324" spans="1:1" ht="38.25" x14ac:dyDescent="0.2">
      <c r="A324" s="131" t="s">
        <v>323</v>
      </c>
    </row>
    <row r="326" spans="1:1" ht="51" x14ac:dyDescent="0.2">
      <c r="A326" s="131" t="s">
        <v>324</v>
      </c>
    </row>
    <row r="328" spans="1:1" ht="63.75" x14ac:dyDescent="0.2">
      <c r="A328" s="131" t="s">
        <v>325</v>
      </c>
    </row>
    <row r="330" spans="1:1" ht="25.5" x14ac:dyDescent="0.2">
      <c r="A330" s="130" t="s">
        <v>368</v>
      </c>
    </row>
    <row r="331" spans="1:1" x14ac:dyDescent="0.2">
      <c r="A331" s="131"/>
    </row>
    <row r="332" spans="1:1" x14ac:dyDescent="0.2">
      <c r="A332" s="131" t="s">
        <v>326</v>
      </c>
    </row>
    <row r="333" spans="1:1" x14ac:dyDescent="0.2">
      <c r="A333" s="131"/>
    </row>
    <row r="334" spans="1:1" ht="51" x14ac:dyDescent="0.2">
      <c r="A334" s="130" t="s">
        <v>370</v>
      </c>
    </row>
    <row r="335" spans="1:1" x14ac:dyDescent="0.2">
      <c r="A335" s="131"/>
    </row>
    <row r="336" spans="1:1" ht="25.5" x14ac:dyDescent="0.2">
      <c r="A336" s="130" t="s">
        <v>327</v>
      </c>
    </row>
    <row r="337" spans="1:1" x14ac:dyDescent="0.2">
      <c r="A337" s="131"/>
    </row>
    <row r="338" spans="1:1" ht="38.25" x14ac:dyDescent="0.2">
      <c r="A338" s="130" t="s">
        <v>328</v>
      </c>
    </row>
    <row r="339" spans="1:1" x14ac:dyDescent="0.2">
      <c r="A339" s="131"/>
    </row>
    <row r="340" spans="1:1" x14ac:dyDescent="0.2">
      <c r="A340" s="131" t="s">
        <v>329</v>
      </c>
    </row>
    <row r="342" spans="1:1" ht="51" x14ac:dyDescent="0.2">
      <c r="A342" s="130" t="s">
        <v>393</v>
      </c>
    </row>
    <row r="344" spans="1:1" x14ac:dyDescent="0.2">
      <c r="A344" s="132" t="s">
        <v>66</v>
      </c>
    </row>
    <row r="346" spans="1:1" ht="25.5" x14ac:dyDescent="0.2">
      <c r="A346" s="130" t="s">
        <v>371</v>
      </c>
    </row>
    <row r="348" spans="1:1" ht="25.5" x14ac:dyDescent="0.2">
      <c r="A348" s="130" t="s">
        <v>372</v>
      </c>
    </row>
    <row r="350" spans="1:1" x14ac:dyDescent="0.2">
      <c r="A350" s="132" t="s">
        <v>330</v>
      </c>
    </row>
    <row r="352" spans="1:1" ht="38.25" x14ac:dyDescent="0.2">
      <c r="A352" s="130" t="s">
        <v>373</v>
      </c>
    </row>
    <row r="354" spans="1:1" ht="38.25" x14ac:dyDescent="0.2">
      <c r="A354" s="131" t="s">
        <v>331</v>
      </c>
    </row>
    <row r="356" spans="1:1" x14ac:dyDescent="0.2">
      <c r="A356" s="134" t="s">
        <v>9</v>
      </c>
    </row>
    <row r="358" spans="1:1" ht="63.75" x14ac:dyDescent="0.2">
      <c r="A358" s="130" t="s">
        <v>0</v>
      </c>
    </row>
    <row r="360" spans="1:1" x14ac:dyDescent="0.2">
      <c r="A360" s="132" t="s">
        <v>67</v>
      </c>
    </row>
    <row r="361" spans="1:1" x14ac:dyDescent="0.2">
      <c r="A361" s="132"/>
    </row>
    <row r="362" spans="1:1" ht="76.5" x14ac:dyDescent="0.2">
      <c r="A362" s="130" t="s">
        <v>68</v>
      </c>
    </row>
  </sheetData>
  <sheetProtection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BE0E4-9518-4006-AFD4-F3504C95037F}">
  <dimension ref="A1"/>
  <sheetViews>
    <sheetView workbookViewId="0">
      <selection activeCell="N26" sqref="N26"/>
    </sheetView>
  </sheetViews>
  <sheetFormatPr defaultRowHeight="13.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7832-B4A5-4D73-A23D-73879DDF2F1A}">
  <dimension ref="B1:G5"/>
  <sheetViews>
    <sheetView workbookViewId="0">
      <selection activeCell="G9" sqref="G9"/>
    </sheetView>
  </sheetViews>
  <sheetFormatPr defaultRowHeight="16.5" x14ac:dyDescent="0.3"/>
  <cols>
    <col min="1" max="1" width="9.140625" style="164"/>
    <col min="2" max="2" width="19" style="164" bestFit="1" customWidth="1"/>
    <col min="3" max="7" width="19.85546875" style="164" bestFit="1" customWidth="1"/>
    <col min="8" max="16384" width="9.140625" style="164"/>
  </cols>
  <sheetData>
    <row r="1" spans="2:7" ht="17.25" thickBot="1" x14ac:dyDescent="0.35"/>
    <row r="2" spans="2:7" ht="17.25" thickBot="1" x14ac:dyDescent="0.35">
      <c r="B2" s="174" t="s">
        <v>23</v>
      </c>
      <c r="C2" s="178">
        <v>2025</v>
      </c>
      <c r="D2" s="179">
        <v>2026</v>
      </c>
      <c r="E2" s="179">
        <v>2027</v>
      </c>
      <c r="F2" s="179">
        <v>2028</v>
      </c>
      <c r="G2" s="180">
        <v>2029</v>
      </c>
    </row>
    <row r="3" spans="2:7" x14ac:dyDescent="0.3">
      <c r="B3" s="165" t="s">
        <v>430</v>
      </c>
      <c r="C3" s="175">
        <v>39993930631.199997</v>
      </c>
      <c r="D3" s="176">
        <v>43193445081.695999</v>
      </c>
      <c r="E3" s="176">
        <v>46648920688.231682</v>
      </c>
      <c r="F3" s="176">
        <v>50380834343.290222</v>
      </c>
      <c r="G3" s="177">
        <v>54411301090.753441</v>
      </c>
    </row>
    <row r="4" spans="2:7" x14ac:dyDescent="0.3">
      <c r="B4" s="166" t="s">
        <v>432</v>
      </c>
      <c r="C4" s="169">
        <v>30621130924.011597</v>
      </c>
      <c r="D4" s="168">
        <v>32500901406.116447</v>
      </c>
      <c r="E4" s="168">
        <v>34914057791.519714</v>
      </c>
      <c r="F4" s="168">
        <v>37156780097.819931</v>
      </c>
      <c r="G4" s="170">
        <v>39919094630.158012</v>
      </c>
    </row>
    <row r="5" spans="2:7" ht="17.25" thickBot="1" x14ac:dyDescent="0.35">
      <c r="B5" s="167" t="s">
        <v>431</v>
      </c>
      <c r="C5" s="171">
        <v>9372799707.1884003</v>
      </c>
      <c r="D5" s="172">
        <v>10692543675.579552</v>
      </c>
      <c r="E5" s="172">
        <v>11734862896.711966</v>
      </c>
      <c r="F5" s="172">
        <v>13224054245.470293</v>
      </c>
      <c r="G5" s="173">
        <v>14492206460.595428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F275A-7C61-4C0E-A101-1404716FA74D}">
  <dimension ref="B1:G3"/>
  <sheetViews>
    <sheetView topLeftCell="A12" workbookViewId="0">
      <selection activeCell="G15" sqref="G15"/>
    </sheetView>
  </sheetViews>
  <sheetFormatPr defaultRowHeight="16.5" x14ac:dyDescent="0.3"/>
  <cols>
    <col min="1" max="1" width="9.140625" style="164"/>
    <col min="2" max="2" width="18.85546875" style="164" bestFit="1" customWidth="1"/>
    <col min="3" max="7" width="19.85546875" style="164" bestFit="1" customWidth="1"/>
    <col min="8" max="16384" width="9.140625" style="164"/>
  </cols>
  <sheetData>
    <row r="1" spans="2:7" ht="17.25" thickBot="1" x14ac:dyDescent="0.35"/>
    <row r="2" spans="2:7" ht="17.25" thickBot="1" x14ac:dyDescent="0.35">
      <c r="B2" s="174" t="s">
        <v>23</v>
      </c>
      <c r="C2" s="178">
        <v>2025</v>
      </c>
      <c r="D2" s="179">
        <v>2026</v>
      </c>
      <c r="E2" s="179">
        <v>2027</v>
      </c>
      <c r="F2" s="179">
        <v>2028</v>
      </c>
      <c r="G2" s="180">
        <v>2029</v>
      </c>
    </row>
    <row r="3" spans="2:7" ht="17.25" thickBot="1" x14ac:dyDescent="0.35">
      <c r="B3" s="167" t="s">
        <v>431</v>
      </c>
      <c r="C3" s="171">
        <v>9372799707.1884003</v>
      </c>
      <c r="D3" s="172">
        <v>10692543675.579552</v>
      </c>
      <c r="E3" s="172">
        <v>11734862896.711966</v>
      </c>
      <c r="F3" s="172">
        <v>13224054245.470293</v>
      </c>
      <c r="G3" s="173">
        <v>14492206460.595428</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24"/>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71" customWidth="1"/>
    <col min="2" max="7" width="13.7109375" style="14" customWidth="1"/>
    <col min="8" max="8" width="2.7109375" style="84" customWidth="1"/>
    <col min="9" max="11" width="15.7109375" style="84" customWidth="1"/>
    <col min="12" max="16" width="15.7109375" style="5" customWidth="1"/>
    <col min="17" max="16384" width="9.140625" style="5"/>
  </cols>
  <sheetData>
    <row r="1" spans="1:11" ht="16.149999999999999" customHeight="1" x14ac:dyDescent="0.25">
      <c r="A1" s="102" t="str">
        <f>IF(ISBLANK(Assumptions!$C$4),"Example Limited",Assumptions!$C$4)</f>
        <v>Maisha Transport Company Limited</v>
      </c>
      <c r="B1" s="16"/>
      <c r="C1" s="16"/>
      <c r="D1" s="16"/>
      <c r="G1" s="83"/>
    </row>
    <row r="2" spans="1:11" ht="16.149999999999999" customHeight="1" x14ac:dyDescent="0.25">
      <c r="A2" s="6" t="s">
        <v>164</v>
      </c>
      <c r="B2" s="16"/>
      <c r="C2" s="16"/>
      <c r="D2" s="16"/>
      <c r="G2" s="83"/>
    </row>
    <row r="4" spans="1:11" ht="16.149999999999999" customHeight="1" x14ac:dyDescent="0.25">
      <c r="A4" s="71" t="s">
        <v>14</v>
      </c>
      <c r="B4" s="85">
        <f>Assumptions!$D$75</f>
        <v>9.2499999999999999E-2</v>
      </c>
      <c r="C4" s="86"/>
      <c r="D4" s="86"/>
    </row>
    <row r="5" spans="1:11" ht="16.149999999999999" customHeight="1" x14ac:dyDescent="0.25">
      <c r="A5" s="71" t="s">
        <v>20</v>
      </c>
      <c r="B5" s="87">
        <f>Assumptions!$D$76</f>
        <v>8</v>
      </c>
      <c r="C5" s="17"/>
      <c r="D5" s="17"/>
    </row>
    <row r="6" spans="1:11" ht="16.149999999999999" customHeight="1" x14ac:dyDescent="0.25">
      <c r="A6" s="71" t="s">
        <v>21</v>
      </c>
      <c r="B6" s="88" t="str">
        <f>Assumptions!$D$77</f>
        <v>No</v>
      </c>
      <c r="C6" s="89"/>
      <c r="D6" s="89"/>
    </row>
    <row r="7" spans="1:11" ht="16.149999999999999" customHeight="1" x14ac:dyDescent="0.25">
      <c r="A7" s="7" t="s">
        <v>37</v>
      </c>
    </row>
    <row r="8" spans="1:11" s="93" customFormat="1" ht="25.5" x14ac:dyDescent="0.25">
      <c r="A8" s="90" t="s">
        <v>23</v>
      </c>
      <c r="B8" s="91" t="s">
        <v>24</v>
      </c>
      <c r="C8" s="91" t="s">
        <v>227</v>
      </c>
      <c r="D8" s="91" t="s">
        <v>42</v>
      </c>
      <c r="E8" s="91" t="s">
        <v>228</v>
      </c>
      <c r="F8" s="91" t="s">
        <v>38</v>
      </c>
      <c r="G8" s="91" t="s">
        <v>25</v>
      </c>
      <c r="H8" s="92"/>
      <c r="I8" s="92"/>
      <c r="J8" s="92"/>
      <c r="K8" s="92"/>
    </row>
    <row r="9" spans="1:11" s="1" customFormat="1" ht="16.149999999999999" customHeight="1" x14ac:dyDescent="0.25">
      <c r="A9" s="94">
        <v>0</v>
      </c>
      <c r="B9" s="95">
        <v>0</v>
      </c>
      <c r="C9" s="95">
        <f ca="1">-SUMIF(Assumptions!$A$79:$C$102,"LT2",Assumptions!$C$79:$C$102)</f>
        <v>0</v>
      </c>
      <c r="D9" s="95">
        <v>0</v>
      </c>
      <c r="E9" s="89">
        <v>0</v>
      </c>
      <c r="F9" s="96">
        <f>IF($B$6="Yes",0,D9-E9)</f>
        <v>0</v>
      </c>
      <c r="G9" s="89">
        <f ca="1">IF(ROUND(SUM(B9:C9,-F9),0)=0,0,IF($B$6="Yes",SUM($C$9:C9),SUM(B9:C9,-F9)))</f>
        <v>0</v>
      </c>
      <c r="H9" s="97"/>
      <c r="I9" s="97"/>
      <c r="J9" s="97"/>
      <c r="K9" s="97"/>
    </row>
    <row r="10" spans="1:11" s="71" customFormat="1" ht="16.149999999999999" customHeight="1" x14ac:dyDescent="0.25">
      <c r="A10" s="98">
        <v>1</v>
      </c>
      <c r="B10" s="99">
        <f ca="1">G9</f>
        <v>0</v>
      </c>
      <c r="C10" s="99">
        <f ca="1">OFFSET(CashFlow!$B$36,0,ROW($A10)-ROW($A$9),1,1)</f>
        <v>0</v>
      </c>
      <c r="D10" s="96">
        <f ca="1">IF($B$6="Yes",0,IF(ROW(C10)-ROW($C$9)&gt;$B$5,-PMT($B$4,$B$5,SUM(OFFSET(C10,0,0,-$B$5,1)),0,0),-PMT($B$4,$B$5,SUM(OFFSET(C10,0,0,ROW($C$8)-ROW(C10),1)),0,0)))</f>
        <v>0</v>
      </c>
      <c r="E10" s="96">
        <f t="shared" ref="E10:E24" ca="1" si="0">(G9+C10)*$B$4</f>
        <v>0</v>
      </c>
      <c r="F10" s="96">
        <f t="shared" ref="F10:F24" ca="1" si="1">IF($B$6="Yes",0,D10-E10)</f>
        <v>0</v>
      </c>
      <c r="G10" s="89">
        <f ca="1">IF(ROUND(SUM(B10:C10,-F10),0)=0,0,IF($B$6="Yes",SUM($C$9:C10),SUM(B10:C10,-F10)))</f>
        <v>0</v>
      </c>
      <c r="H10" s="100"/>
      <c r="I10" s="97"/>
      <c r="J10" s="100"/>
      <c r="K10" s="100"/>
    </row>
    <row r="11" spans="1:11" s="71" customFormat="1" ht="16.149999999999999" customHeight="1" x14ac:dyDescent="0.25">
      <c r="A11" s="98">
        <v>2</v>
      </c>
      <c r="B11" s="99">
        <f t="shared" ref="B11:B24" ca="1" si="2">G10</f>
        <v>0</v>
      </c>
      <c r="C11" s="99">
        <f ca="1">OFFSET(CashFlow!$B$36,0,ROW($A11)-ROW($A$9),1,1)</f>
        <v>0</v>
      </c>
      <c r="D11" s="96">
        <f t="shared" ref="D11:D24" ca="1" si="3">IF($B$6="Yes",0,IF(ROW(C11)-ROW($C$9)&gt;$B$5,-PMT($B$4,$B$5,SUM(OFFSET(C11,0,0,-$B$5,1)),0,0),-PMT($B$4,$B$5,SUM(OFFSET(C11,0,0,ROW($C$8)-ROW(C11),1)),0,0)))</f>
        <v>0</v>
      </c>
      <c r="E11" s="96">
        <f t="shared" ca="1" si="0"/>
        <v>0</v>
      </c>
      <c r="F11" s="96">
        <f t="shared" ca="1" si="1"/>
        <v>0</v>
      </c>
      <c r="G11" s="89">
        <f ca="1">IF(ROUND(SUM(B11:C11,-F11),0)=0,0,IF($B$6="Yes",SUM($C$9:C11),SUM(B11:C11,-F11)))</f>
        <v>0</v>
      </c>
      <c r="H11" s="100"/>
      <c r="I11" s="100"/>
      <c r="J11" s="100"/>
      <c r="K11" s="100"/>
    </row>
    <row r="12" spans="1:11" s="71" customFormat="1" ht="16.149999999999999" customHeight="1" x14ac:dyDescent="0.25">
      <c r="A12" s="98">
        <v>3</v>
      </c>
      <c r="B12" s="99">
        <f t="shared" ca="1" si="2"/>
        <v>0</v>
      </c>
      <c r="C12" s="99">
        <f ca="1">OFFSET(CashFlow!$B$36,0,ROW($A12)-ROW($A$9),1,1)</f>
        <v>0</v>
      </c>
      <c r="D12" s="96">
        <f t="shared" ca="1" si="3"/>
        <v>0</v>
      </c>
      <c r="E12" s="96">
        <f t="shared" ca="1" si="0"/>
        <v>0</v>
      </c>
      <c r="F12" s="96">
        <f t="shared" ca="1" si="1"/>
        <v>0</v>
      </c>
      <c r="G12" s="89">
        <f ca="1">IF(ROUND(SUM(B12:C12,-F12),0)=0,0,IF($B$6="Yes",SUM($C$9:C12),SUM(B12:C12,-F12)))</f>
        <v>0</v>
      </c>
      <c r="H12" s="100"/>
      <c r="I12" s="100"/>
      <c r="J12" s="100"/>
      <c r="K12" s="100"/>
    </row>
    <row r="13" spans="1:11" s="71" customFormat="1" ht="16.149999999999999" customHeight="1" x14ac:dyDescent="0.25">
      <c r="A13" s="98">
        <v>4</v>
      </c>
      <c r="B13" s="99">
        <f t="shared" ca="1" si="2"/>
        <v>0</v>
      </c>
      <c r="C13" s="99">
        <f ca="1">OFFSET(CashFlow!$B$36,0,ROW($A13)-ROW($A$9),1,1)</f>
        <v>0</v>
      </c>
      <c r="D13" s="96">
        <f t="shared" ca="1" si="3"/>
        <v>0</v>
      </c>
      <c r="E13" s="96">
        <f t="shared" ca="1" si="0"/>
        <v>0</v>
      </c>
      <c r="F13" s="96">
        <f t="shared" ca="1" si="1"/>
        <v>0</v>
      </c>
      <c r="G13" s="89">
        <f ca="1">IF(ROUND(SUM(B13:C13,-F13),0)=0,0,IF($B$6="Yes",SUM($C$9:C13),SUM(B13:C13,-F13)))</f>
        <v>0</v>
      </c>
      <c r="H13" s="100"/>
      <c r="I13" s="100"/>
      <c r="J13" s="100"/>
      <c r="K13" s="100"/>
    </row>
    <row r="14" spans="1:11" s="71" customFormat="1" ht="16.149999999999999" customHeight="1" x14ac:dyDescent="0.25">
      <c r="A14" s="98">
        <v>5</v>
      </c>
      <c r="B14" s="99">
        <f t="shared" ca="1" si="2"/>
        <v>0</v>
      </c>
      <c r="C14" s="99">
        <f ca="1">OFFSET(CashFlow!$B$36,0,ROW($A14)-ROW($A$9),1,1)</f>
        <v>0</v>
      </c>
      <c r="D14" s="96">
        <f t="shared" ca="1" si="3"/>
        <v>0</v>
      </c>
      <c r="E14" s="96">
        <f t="shared" ca="1" si="0"/>
        <v>0</v>
      </c>
      <c r="F14" s="96">
        <f t="shared" ca="1" si="1"/>
        <v>0</v>
      </c>
      <c r="G14" s="89">
        <f ca="1">IF(ROUND(SUM(B14:C14,-F14),0)=0,0,IF($B$6="Yes",SUM($C$9:C14),SUM(B14:C14,-F14)))</f>
        <v>0</v>
      </c>
      <c r="H14" s="100"/>
      <c r="I14" s="100"/>
      <c r="J14" s="100"/>
      <c r="K14" s="100"/>
    </row>
    <row r="15" spans="1:11" s="71" customFormat="1" ht="16.149999999999999" customHeight="1" x14ac:dyDescent="0.25">
      <c r="A15" s="98">
        <v>6</v>
      </c>
      <c r="B15" s="99">
        <f t="shared" ca="1" si="2"/>
        <v>0</v>
      </c>
      <c r="C15" s="99">
        <f ca="1">OFFSET(CashFlow!$B$36,0,ROW($A15)-ROW($A$9),1,1)</f>
        <v>0</v>
      </c>
      <c r="D15" s="96">
        <f t="shared" ca="1" si="3"/>
        <v>0</v>
      </c>
      <c r="E15" s="96">
        <f t="shared" ca="1" si="0"/>
        <v>0</v>
      </c>
      <c r="F15" s="96">
        <f t="shared" ca="1" si="1"/>
        <v>0</v>
      </c>
      <c r="G15" s="89">
        <f ca="1">IF(ROUND(SUM(B15:C15,-F15),0)=0,0,IF($B$6="Yes",SUM($C$9:C15),SUM(B15:C15,-F15)))</f>
        <v>0</v>
      </c>
      <c r="H15" s="100"/>
      <c r="I15" s="100"/>
      <c r="J15" s="100"/>
      <c r="K15" s="100"/>
    </row>
    <row r="16" spans="1:11" s="71" customFormat="1" ht="16.149999999999999" customHeight="1" x14ac:dyDescent="0.25">
      <c r="A16" s="98">
        <v>7</v>
      </c>
      <c r="B16" s="99">
        <f t="shared" ca="1" si="2"/>
        <v>0</v>
      </c>
      <c r="C16" s="99">
        <f ca="1">OFFSET(CashFlow!$B$36,0,ROW($A16)-ROW($A$9),1,1)</f>
        <v>0</v>
      </c>
      <c r="D16" s="96">
        <f t="shared" ca="1" si="3"/>
        <v>0</v>
      </c>
      <c r="E16" s="96">
        <f t="shared" ca="1" si="0"/>
        <v>0</v>
      </c>
      <c r="F16" s="96">
        <f t="shared" ca="1" si="1"/>
        <v>0</v>
      </c>
      <c r="G16" s="89">
        <f ca="1">IF(ROUND(SUM(B16:C16,-F16),0)=0,0,IF($B$6="Yes",SUM($C$9:C16),SUM(B16:C16,-F16)))</f>
        <v>0</v>
      </c>
      <c r="H16" s="100"/>
      <c r="I16" s="100"/>
      <c r="J16" s="100"/>
      <c r="K16" s="100"/>
    </row>
    <row r="17" spans="1:11" s="71" customFormat="1" ht="16.149999999999999" customHeight="1" x14ac:dyDescent="0.25">
      <c r="A17" s="98">
        <v>8</v>
      </c>
      <c r="B17" s="99">
        <f t="shared" ca="1" si="2"/>
        <v>0</v>
      </c>
      <c r="C17" s="99">
        <f ca="1">OFFSET(CashFlow!$B$36,0,ROW($A17)-ROW($A$9),1,1)</f>
        <v>0</v>
      </c>
      <c r="D17" s="96">
        <f t="shared" ca="1" si="3"/>
        <v>0</v>
      </c>
      <c r="E17" s="96">
        <f t="shared" ca="1" si="0"/>
        <v>0</v>
      </c>
      <c r="F17" s="96">
        <f t="shared" ca="1" si="1"/>
        <v>0</v>
      </c>
      <c r="G17" s="89">
        <f ca="1">IF(ROUND(SUM(B17:C17,-F17),0)=0,0,IF($B$6="Yes",SUM($C$9:C17),SUM(B17:C17,-F17)))</f>
        <v>0</v>
      </c>
      <c r="H17" s="100"/>
      <c r="I17" s="100"/>
      <c r="J17" s="100"/>
      <c r="K17" s="100"/>
    </row>
    <row r="18" spans="1:11" s="71" customFormat="1" ht="16.149999999999999" customHeight="1" x14ac:dyDescent="0.25">
      <c r="A18" s="98">
        <v>9</v>
      </c>
      <c r="B18" s="99">
        <f t="shared" ca="1" si="2"/>
        <v>0</v>
      </c>
      <c r="C18" s="99">
        <f ca="1">OFFSET(CashFlow!$B$36,0,ROW($A18)-ROW($A$9),1,1)</f>
        <v>0</v>
      </c>
      <c r="D18" s="96">
        <f t="shared" ca="1" si="3"/>
        <v>0</v>
      </c>
      <c r="E18" s="96">
        <f t="shared" ca="1" si="0"/>
        <v>0</v>
      </c>
      <c r="F18" s="96">
        <f t="shared" ca="1" si="1"/>
        <v>0</v>
      </c>
      <c r="G18" s="89">
        <f ca="1">IF(ROUND(SUM(B18:C18,-F18),0)=0,0,IF($B$6="Yes",SUM($C$9:C18),SUM(B18:C18,-F18)))</f>
        <v>0</v>
      </c>
      <c r="H18" s="100"/>
      <c r="I18" s="100"/>
      <c r="J18" s="100"/>
      <c r="K18" s="100"/>
    </row>
    <row r="19" spans="1:11" s="71" customFormat="1" ht="16.149999999999999" customHeight="1" x14ac:dyDescent="0.25">
      <c r="A19" s="98">
        <v>10</v>
      </c>
      <c r="B19" s="99">
        <f t="shared" ca="1" si="2"/>
        <v>0</v>
      </c>
      <c r="C19" s="99">
        <f ca="1">OFFSET(CashFlow!$B$36,0,ROW($A19)-ROW($A$9),1,1)</f>
        <v>0</v>
      </c>
      <c r="D19" s="96">
        <f t="shared" ca="1" si="3"/>
        <v>0</v>
      </c>
      <c r="E19" s="96">
        <f t="shared" ca="1" si="0"/>
        <v>0</v>
      </c>
      <c r="F19" s="96">
        <f t="shared" ca="1" si="1"/>
        <v>0</v>
      </c>
      <c r="G19" s="89">
        <f ca="1">IF(ROUND(SUM(B19:C19,-F19),0)=0,0,IF($B$6="Yes",SUM($C$9:C19),SUM(B19:C19,-F19)))</f>
        <v>0</v>
      </c>
      <c r="H19" s="100"/>
      <c r="I19" s="100"/>
      <c r="J19" s="100"/>
      <c r="K19" s="100"/>
    </row>
    <row r="20" spans="1:11" s="71" customFormat="1" ht="16.149999999999999" customHeight="1" x14ac:dyDescent="0.25">
      <c r="A20" s="98">
        <v>11</v>
      </c>
      <c r="B20" s="99">
        <f t="shared" ca="1" si="2"/>
        <v>0</v>
      </c>
      <c r="C20" s="99">
        <f ca="1">OFFSET(CashFlow!$B$36,0,ROW($A20)-ROW($A$9),1,1)</f>
        <v>0</v>
      </c>
      <c r="D20" s="96">
        <f t="shared" ca="1" si="3"/>
        <v>0</v>
      </c>
      <c r="E20" s="96">
        <f t="shared" ca="1" si="0"/>
        <v>0</v>
      </c>
      <c r="F20" s="96">
        <f t="shared" ca="1" si="1"/>
        <v>0</v>
      </c>
      <c r="G20" s="89">
        <f ca="1">IF(ROUND(SUM(B20:C20,-F20),0)=0,0,IF($B$6="Yes",SUM($C$9:C20),SUM(B20:C20,-F20)))</f>
        <v>0</v>
      </c>
      <c r="H20" s="100"/>
      <c r="I20" s="100"/>
      <c r="J20" s="100"/>
      <c r="K20" s="100"/>
    </row>
    <row r="21" spans="1:11" ht="16.149999999999999" customHeight="1" x14ac:dyDescent="0.25">
      <c r="A21" s="98">
        <v>12</v>
      </c>
      <c r="B21" s="99">
        <f t="shared" ca="1" si="2"/>
        <v>0</v>
      </c>
      <c r="C21" s="99">
        <f ca="1">OFFSET(CashFlow!$B$36,0,ROW($A21)-ROW($A$9),1,1)</f>
        <v>0</v>
      </c>
      <c r="D21" s="96">
        <f t="shared" ca="1" si="3"/>
        <v>0</v>
      </c>
      <c r="E21" s="96">
        <f t="shared" ca="1" si="0"/>
        <v>0</v>
      </c>
      <c r="F21" s="96">
        <f t="shared" ca="1" si="1"/>
        <v>0</v>
      </c>
      <c r="G21" s="89">
        <f ca="1">IF(ROUND(SUM(B21:C21,-F21),0)=0,0,IF($B$6="Yes",SUM($C$9:C21),SUM(B21:C21,-F21)))</f>
        <v>0</v>
      </c>
    </row>
    <row r="22" spans="1:11" ht="16.149999999999999" customHeight="1" x14ac:dyDescent="0.25">
      <c r="A22" s="98">
        <v>13</v>
      </c>
      <c r="B22" s="99">
        <f t="shared" ca="1" si="2"/>
        <v>0</v>
      </c>
      <c r="C22" s="99">
        <f ca="1">OFFSET(CashFlow!$B$36,0,ROW($A22)-ROW($A$9),1,1)</f>
        <v>0</v>
      </c>
      <c r="D22" s="96">
        <f t="shared" ca="1" si="3"/>
        <v>0</v>
      </c>
      <c r="E22" s="96">
        <f t="shared" ca="1" si="0"/>
        <v>0</v>
      </c>
      <c r="F22" s="96">
        <f t="shared" ca="1" si="1"/>
        <v>0</v>
      </c>
      <c r="G22" s="89">
        <f ca="1">IF(ROUND(SUM(B22:C22,-F22),0)=0,0,IF($B$6="Yes",SUM($C$9:C22),SUM(B22:C22,-F22)))</f>
        <v>0</v>
      </c>
    </row>
    <row r="23" spans="1:11" ht="16.149999999999999" customHeight="1" x14ac:dyDescent="0.25">
      <c r="A23" s="98">
        <v>14</v>
      </c>
      <c r="B23" s="99">
        <f t="shared" ca="1" si="2"/>
        <v>0</v>
      </c>
      <c r="C23" s="99">
        <f ca="1">OFFSET(CashFlow!$B$36,0,ROW($A23)-ROW($A$9),1,1)</f>
        <v>0</v>
      </c>
      <c r="D23" s="96">
        <f t="shared" ca="1" si="3"/>
        <v>0</v>
      </c>
      <c r="E23" s="96">
        <f t="shared" ca="1" si="0"/>
        <v>0</v>
      </c>
      <c r="F23" s="96">
        <f t="shared" ca="1" si="1"/>
        <v>0</v>
      </c>
      <c r="G23" s="89">
        <f ca="1">IF(ROUND(SUM(B23:C23,-F23),0)=0,0,IF($B$6="Yes",SUM($C$9:C23),SUM(B23:C23,-F23)))</f>
        <v>0</v>
      </c>
    </row>
    <row r="24" spans="1:11" s="56" customFormat="1" ht="16.149999999999999" customHeight="1" x14ac:dyDescent="0.25">
      <c r="A24" s="98">
        <v>15</v>
      </c>
      <c r="B24" s="99">
        <f t="shared" ca="1" si="2"/>
        <v>0</v>
      </c>
      <c r="C24" s="99">
        <f ca="1">OFFSET(CashFlow!$B$36,0,ROW($A24)-ROW($A$9),1,1)</f>
        <v>0</v>
      </c>
      <c r="D24" s="96">
        <f t="shared" ca="1" si="3"/>
        <v>0</v>
      </c>
      <c r="E24" s="96">
        <f t="shared" ca="1" si="0"/>
        <v>0</v>
      </c>
      <c r="F24" s="96">
        <f t="shared" ca="1" si="1"/>
        <v>0</v>
      </c>
      <c r="G24" s="89">
        <f ca="1">IF(ROUND(SUM(B24:C24,-F24),0)=0,0,IF($B$6="Yes",SUM($C$9:C24),SUM(B24:C24,-F24)))</f>
        <v>0</v>
      </c>
      <c r="H24" s="101"/>
      <c r="I24" s="101"/>
      <c r="J24" s="101"/>
      <c r="K24" s="101"/>
    </row>
  </sheetData>
  <sheetProtection formatCells="0" formatColumns="0" formatRows="0"/>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24"/>
  <sheetViews>
    <sheetView zoomScale="95" workbookViewId="0">
      <pane ySplit="8" topLeftCell="A9" activePane="bottomLeft" state="frozen"/>
      <selection pane="bottomLeft" activeCell="C10" sqref="C10"/>
    </sheetView>
  </sheetViews>
  <sheetFormatPr defaultColWidth="9.140625" defaultRowHeight="16.149999999999999" customHeight="1" x14ac:dyDescent="0.25"/>
  <cols>
    <col min="1" max="1" width="15.7109375" style="71" customWidth="1"/>
    <col min="2" max="7" width="13.7109375" style="14" customWidth="1"/>
    <col min="8" max="8" width="2.7109375" style="84" customWidth="1"/>
    <col min="9" max="11" width="15.7109375" style="84" customWidth="1"/>
    <col min="12" max="16" width="15.7109375" style="5" customWidth="1"/>
    <col min="17" max="16384" width="9.140625" style="5"/>
  </cols>
  <sheetData>
    <row r="1" spans="1:11" ht="16.149999999999999" customHeight="1" x14ac:dyDescent="0.25">
      <c r="A1" s="102" t="str">
        <f>IF(ISBLANK(Assumptions!$C$4),"Example Limited",Assumptions!$C$4)</f>
        <v>Maisha Transport Company Limited</v>
      </c>
      <c r="B1" s="16"/>
      <c r="C1" s="16"/>
      <c r="D1" s="16"/>
      <c r="G1" s="83"/>
    </row>
    <row r="2" spans="1:11" ht="16.149999999999999" customHeight="1" x14ac:dyDescent="0.25">
      <c r="A2" s="6" t="s">
        <v>165</v>
      </c>
      <c r="B2" s="16"/>
      <c r="C2" s="16"/>
      <c r="D2" s="16"/>
      <c r="G2" s="83"/>
    </row>
    <row r="4" spans="1:11" ht="16.149999999999999" customHeight="1" x14ac:dyDescent="0.25">
      <c r="A4" s="71" t="s">
        <v>14</v>
      </c>
      <c r="B4" s="85">
        <f>Assumptions!$E$75</f>
        <v>0.125</v>
      </c>
      <c r="C4" s="86"/>
      <c r="D4" s="86"/>
    </row>
    <row r="5" spans="1:11" ht="16.149999999999999" customHeight="1" x14ac:dyDescent="0.25">
      <c r="A5" s="71" t="s">
        <v>20</v>
      </c>
      <c r="B5" s="87">
        <f>Assumptions!$E$76</f>
        <v>5</v>
      </c>
      <c r="C5" s="17"/>
      <c r="D5" s="17"/>
    </row>
    <row r="6" spans="1:11" ht="16.149999999999999" customHeight="1" x14ac:dyDescent="0.25">
      <c r="A6" s="71" t="s">
        <v>21</v>
      </c>
      <c r="B6" s="88" t="str">
        <f>Assumptions!$E$77</f>
        <v>No</v>
      </c>
      <c r="C6" s="89"/>
      <c r="D6" s="89"/>
    </row>
    <row r="7" spans="1:11" ht="16.149999999999999" customHeight="1" x14ac:dyDescent="0.25">
      <c r="A7" s="7" t="s">
        <v>37</v>
      </c>
    </row>
    <row r="8" spans="1:11" s="93" customFormat="1" ht="25.5" x14ac:dyDescent="0.25">
      <c r="A8" s="90" t="s">
        <v>23</v>
      </c>
      <c r="B8" s="91" t="s">
        <v>24</v>
      </c>
      <c r="C8" s="91" t="s">
        <v>227</v>
      </c>
      <c r="D8" s="91" t="s">
        <v>42</v>
      </c>
      <c r="E8" s="91" t="s">
        <v>228</v>
      </c>
      <c r="F8" s="91" t="s">
        <v>38</v>
      </c>
      <c r="G8" s="91" t="s">
        <v>25</v>
      </c>
      <c r="H8" s="92"/>
      <c r="I8" s="92"/>
      <c r="J8" s="92"/>
      <c r="K8" s="92"/>
    </row>
    <row r="9" spans="1:11" s="1" customFormat="1" ht="16.149999999999999" customHeight="1" x14ac:dyDescent="0.25">
      <c r="A9" s="94">
        <v>0</v>
      </c>
      <c r="B9" s="95">
        <v>0</v>
      </c>
      <c r="C9" s="95">
        <f ca="1">-SUMIF(Assumptions!$A$79:$C$102,"LT3",Assumptions!$C$79:$C$102)</f>
        <v>0</v>
      </c>
      <c r="D9" s="95">
        <v>0</v>
      </c>
      <c r="E9" s="89">
        <v>0</v>
      </c>
      <c r="F9" s="96">
        <f>IF($B$6="Yes",0,D9-E9)</f>
        <v>0</v>
      </c>
      <c r="G9" s="89">
        <f ca="1">IF(ROUND(SUM(B9:C9,-F9),0)=0,0,IF($B$6="Yes",SUM($C$9:C9),SUM(B9:C9,-F9)))</f>
        <v>0</v>
      </c>
      <c r="H9" s="97"/>
      <c r="I9" s="97"/>
      <c r="J9" s="97"/>
      <c r="K9" s="97"/>
    </row>
    <row r="10" spans="1:11" s="71" customFormat="1" ht="16.149999999999999" customHeight="1" x14ac:dyDescent="0.25">
      <c r="A10" s="98">
        <v>1</v>
      </c>
      <c r="B10" s="99">
        <f ca="1">G9</f>
        <v>0</v>
      </c>
      <c r="C10" s="99">
        <f ca="1">OFFSET(CashFlow!$B$37,0,ROW($A10)-ROW($A$9),1,1)</f>
        <v>0</v>
      </c>
      <c r="D10" s="96">
        <f ca="1">IF($B$6="Yes",0,IF(ROW(C10)-ROW($C$9)&gt;$B$5,-PMT($B$4,$B$5,SUM(OFFSET(C10,0,0,-$B$5,1)),0,0),-PMT($B$4,$B$5,SUM(OFFSET(C10,0,0,ROW($C$8)-ROW(C10),1)),0,0)))</f>
        <v>0</v>
      </c>
      <c r="E10" s="96">
        <f t="shared" ref="E10:E24" ca="1" si="0">(G9+C10)*$B$4</f>
        <v>0</v>
      </c>
      <c r="F10" s="96">
        <f t="shared" ref="F10:F24" ca="1" si="1">IF($B$6="Yes",0,D10-E10)</f>
        <v>0</v>
      </c>
      <c r="G10" s="89">
        <f ca="1">IF(ROUND(SUM(B10:C10,-F10),0)=0,0,IF($B$6="Yes",SUM($C$9:C10),SUM(B10:C10,-F10)))</f>
        <v>0</v>
      </c>
      <c r="H10" s="100"/>
      <c r="I10" s="97"/>
      <c r="J10" s="100"/>
      <c r="K10" s="100"/>
    </row>
    <row r="11" spans="1:11" s="71" customFormat="1" ht="16.149999999999999" customHeight="1" x14ac:dyDescent="0.25">
      <c r="A11" s="98">
        <v>2</v>
      </c>
      <c r="B11" s="99">
        <f t="shared" ref="B11:B24" ca="1" si="2">G10</f>
        <v>0</v>
      </c>
      <c r="C11" s="99">
        <f ca="1">OFFSET(CashFlow!$B$37,0,ROW($A11)-ROW($A$9),1,1)</f>
        <v>0</v>
      </c>
      <c r="D11" s="96">
        <f t="shared" ref="D11:D24" ca="1" si="3">IF($B$6="Yes",0,IF(ROW(C11)-ROW($C$9)&gt;$B$5,-PMT($B$4,$B$5,SUM(OFFSET(C11,0,0,-$B$5,1)),0,0),-PMT($B$4,$B$5,SUM(OFFSET(C11,0,0,ROW($C$8)-ROW(C11),1)),0,0)))</f>
        <v>0</v>
      </c>
      <c r="E11" s="96">
        <f t="shared" ca="1" si="0"/>
        <v>0</v>
      </c>
      <c r="F11" s="96">
        <f t="shared" ca="1" si="1"/>
        <v>0</v>
      </c>
      <c r="G11" s="89">
        <f ca="1">IF(ROUND(SUM(B11:C11,-F11),0)=0,0,IF($B$6="Yes",SUM($C$9:C11),SUM(B11:C11,-F11)))</f>
        <v>0</v>
      </c>
      <c r="H11" s="100"/>
      <c r="I11" s="100"/>
      <c r="J11" s="100"/>
      <c r="K11" s="100"/>
    </row>
    <row r="12" spans="1:11" s="71" customFormat="1" ht="16.149999999999999" customHeight="1" x14ac:dyDescent="0.25">
      <c r="A12" s="98">
        <v>3</v>
      </c>
      <c r="B12" s="99">
        <f t="shared" ca="1" si="2"/>
        <v>0</v>
      </c>
      <c r="C12" s="99">
        <f ca="1">OFFSET(CashFlow!$B$37,0,ROW($A12)-ROW($A$9),1,1)</f>
        <v>0</v>
      </c>
      <c r="D12" s="96">
        <f t="shared" ca="1" si="3"/>
        <v>0</v>
      </c>
      <c r="E12" s="96">
        <f t="shared" ca="1" si="0"/>
        <v>0</v>
      </c>
      <c r="F12" s="96">
        <f t="shared" ca="1" si="1"/>
        <v>0</v>
      </c>
      <c r="G12" s="89">
        <f ca="1">IF(ROUND(SUM(B12:C12,-F12),0)=0,0,IF($B$6="Yes",SUM($C$9:C12),SUM(B12:C12,-F12)))</f>
        <v>0</v>
      </c>
      <c r="H12" s="100"/>
      <c r="I12" s="100"/>
      <c r="J12" s="100"/>
      <c r="K12" s="100"/>
    </row>
    <row r="13" spans="1:11" s="71" customFormat="1" ht="16.149999999999999" customHeight="1" x14ac:dyDescent="0.25">
      <c r="A13" s="98">
        <v>4</v>
      </c>
      <c r="B13" s="99">
        <f t="shared" ca="1" si="2"/>
        <v>0</v>
      </c>
      <c r="C13" s="99">
        <f ca="1">OFFSET(CashFlow!$B$37,0,ROW($A13)-ROW($A$9),1,1)</f>
        <v>0</v>
      </c>
      <c r="D13" s="96">
        <f t="shared" ca="1" si="3"/>
        <v>0</v>
      </c>
      <c r="E13" s="96">
        <f t="shared" ca="1" si="0"/>
        <v>0</v>
      </c>
      <c r="F13" s="96">
        <f t="shared" ca="1" si="1"/>
        <v>0</v>
      </c>
      <c r="G13" s="89">
        <f ca="1">IF(ROUND(SUM(B13:C13,-F13),0)=0,0,IF($B$6="Yes",SUM($C$9:C13),SUM(B13:C13,-F13)))</f>
        <v>0</v>
      </c>
      <c r="H13" s="100"/>
      <c r="I13" s="100"/>
      <c r="J13" s="100"/>
      <c r="K13" s="100"/>
    </row>
    <row r="14" spans="1:11" s="71" customFormat="1" ht="16.149999999999999" customHeight="1" x14ac:dyDescent="0.25">
      <c r="A14" s="98">
        <v>5</v>
      </c>
      <c r="B14" s="99">
        <f t="shared" ca="1" si="2"/>
        <v>0</v>
      </c>
      <c r="C14" s="99">
        <f ca="1">OFFSET(CashFlow!$B$37,0,ROW($A14)-ROW($A$9),1,1)</f>
        <v>0</v>
      </c>
      <c r="D14" s="96">
        <f t="shared" ca="1" si="3"/>
        <v>0</v>
      </c>
      <c r="E14" s="96">
        <f t="shared" ca="1" si="0"/>
        <v>0</v>
      </c>
      <c r="F14" s="96">
        <f t="shared" ca="1" si="1"/>
        <v>0</v>
      </c>
      <c r="G14" s="89">
        <f ca="1">IF(ROUND(SUM(B14:C14,-F14),0)=0,0,IF($B$6="Yes",SUM($C$9:C14),SUM(B14:C14,-F14)))</f>
        <v>0</v>
      </c>
      <c r="H14" s="100"/>
      <c r="I14" s="100"/>
      <c r="J14" s="100"/>
      <c r="K14" s="100"/>
    </row>
    <row r="15" spans="1:11" s="71" customFormat="1" ht="16.149999999999999" customHeight="1" x14ac:dyDescent="0.25">
      <c r="A15" s="98">
        <v>6</v>
      </c>
      <c r="B15" s="99">
        <f t="shared" ca="1" si="2"/>
        <v>0</v>
      </c>
      <c r="C15" s="99">
        <f ca="1">OFFSET(CashFlow!$B$37,0,ROW($A15)-ROW($A$9),1,1)</f>
        <v>0</v>
      </c>
      <c r="D15" s="96">
        <f t="shared" ca="1" si="3"/>
        <v>0</v>
      </c>
      <c r="E15" s="96">
        <f t="shared" ca="1" si="0"/>
        <v>0</v>
      </c>
      <c r="F15" s="96">
        <f t="shared" ca="1" si="1"/>
        <v>0</v>
      </c>
      <c r="G15" s="89">
        <f ca="1">IF(ROUND(SUM(B15:C15,-F15),0)=0,0,IF($B$6="Yes",SUM($C$9:C15),SUM(B15:C15,-F15)))</f>
        <v>0</v>
      </c>
      <c r="H15" s="100"/>
      <c r="I15" s="100"/>
      <c r="J15" s="100"/>
      <c r="K15" s="100"/>
    </row>
    <row r="16" spans="1:11" s="71" customFormat="1" ht="16.149999999999999" customHeight="1" x14ac:dyDescent="0.25">
      <c r="A16" s="98">
        <v>7</v>
      </c>
      <c r="B16" s="99">
        <f t="shared" ca="1" si="2"/>
        <v>0</v>
      </c>
      <c r="C16" s="99">
        <f ca="1">OFFSET(CashFlow!$B$37,0,ROW($A16)-ROW($A$9),1,1)</f>
        <v>0</v>
      </c>
      <c r="D16" s="96">
        <f t="shared" ca="1" si="3"/>
        <v>0</v>
      </c>
      <c r="E16" s="96">
        <f t="shared" ca="1" si="0"/>
        <v>0</v>
      </c>
      <c r="F16" s="96">
        <f t="shared" ca="1" si="1"/>
        <v>0</v>
      </c>
      <c r="G16" s="89">
        <f ca="1">IF(ROUND(SUM(B16:C16,-F16),0)=0,0,IF($B$6="Yes",SUM($C$9:C16),SUM(B16:C16,-F16)))</f>
        <v>0</v>
      </c>
      <c r="H16" s="100"/>
      <c r="I16" s="100"/>
      <c r="J16" s="100"/>
      <c r="K16" s="100"/>
    </row>
    <row r="17" spans="1:11" s="71" customFormat="1" ht="16.149999999999999" customHeight="1" x14ac:dyDescent="0.25">
      <c r="A17" s="98">
        <v>8</v>
      </c>
      <c r="B17" s="99">
        <f t="shared" ca="1" si="2"/>
        <v>0</v>
      </c>
      <c r="C17" s="99">
        <f ca="1">OFFSET(CashFlow!$B$37,0,ROW($A17)-ROW($A$9),1,1)</f>
        <v>0</v>
      </c>
      <c r="D17" s="96">
        <f t="shared" ca="1" si="3"/>
        <v>0</v>
      </c>
      <c r="E17" s="96">
        <f t="shared" ca="1" si="0"/>
        <v>0</v>
      </c>
      <c r="F17" s="96">
        <f t="shared" ca="1" si="1"/>
        <v>0</v>
      </c>
      <c r="G17" s="89">
        <f ca="1">IF(ROUND(SUM(B17:C17,-F17),0)=0,0,IF($B$6="Yes",SUM($C$9:C17),SUM(B17:C17,-F17)))</f>
        <v>0</v>
      </c>
      <c r="H17" s="100"/>
      <c r="I17" s="100"/>
      <c r="J17" s="100"/>
      <c r="K17" s="100"/>
    </row>
    <row r="18" spans="1:11" s="71" customFormat="1" ht="16.149999999999999" customHeight="1" x14ac:dyDescent="0.25">
      <c r="A18" s="98">
        <v>9</v>
      </c>
      <c r="B18" s="99">
        <f t="shared" ca="1" si="2"/>
        <v>0</v>
      </c>
      <c r="C18" s="99">
        <f ca="1">OFFSET(CashFlow!$B$37,0,ROW($A18)-ROW($A$9),1,1)</f>
        <v>0</v>
      </c>
      <c r="D18" s="96">
        <f t="shared" ca="1" si="3"/>
        <v>0</v>
      </c>
      <c r="E18" s="96">
        <f t="shared" ca="1" si="0"/>
        <v>0</v>
      </c>
      <c r="F18" s="96">
        <f t="shared" ca="1" si="1"/>
        <v>0</v>
      </c>
      <c r="G18" s="89">
        <f ca="1">IF(ROUND(SUM(B18:C18,-F18),0)=0,0,IF($B$6="Yes",SUM($C$9:C18),SUM(B18:C18,-F18)))</f>
        <v>0</v>
      </c>
      <c r="H18" s="100"/>
      <c r="I18" s="100"/>
      <c r="J18" s="100"/>
      <c r="K18" s="100"/>
    </row>
    <row r="19" spans="1:11" s="71" customFormat="1" ht="16.149999999999999" customHeight="1" x14ac:dyDescent="0.25">
      <c r="A19" s="98">
        <v>10</v>
      </c>
      <c r="B19" s="99">
        <f t="shared" ca="1" si="2"/>
        <v>0</v>
      </c>
      <c r="C19" s="99">
        <f ca="1">OFFSET(CashFlow!$B$37,0,ROW($A19)-ROW($A$9),1,1)</f>
        <v>0</v>
      </c>
      <c r="D19" s="96">
        <f t="shared" ca="1" si="3"/>
        <v>0</v>
      </c>
      <c r="E19" s="96">
        <f t="shared" ca="1" si="0"/>
        <v>0</v>
      </c>
      <c r="F19" s="96">
        <f t="shared" ca="1" si="1"/>
        <v>0</v>
      </c>
      <c r="G19" s="89">
        <f ca="1">IF(ROUND(SUM(B19:C19,-F19),0)=0,0,IF($B$6="Yes",SUM($C$9:C19),SUM(B19:C19,-F19)))</f>
        <v>0</v>
      </c>
      <c r="H19" s="100"/>
      <c r="I19" s="100"/>
      <c r="J19" s="100"/>
      <c r="K19" s="100"/>
    </row>
    <row r="20" spans="1:11" s="71" customFormat="1" ht="16.149999999999999" customHeight="1" x14ac:dyDescent="0.25">
      <c r="A20" s="98">
        <v>11</v>
      </c>
      <c r="B20" s="99">
        <f t="shared" ca="1" si="2"/>
        <v>0</v>
      </c>
      <c r="C20" s="99">
        <f ca="1">OFFSET(CashFlow!$B$37,0,ROW($A20)-ROW($A$9),1,1)</f>
        <v>0</v>
      </c>
      <c r="D20" s="96">
        <f t="shared" ca="1" si="3"/>
        <v>0</v>
      </c>
      <c r="E20" s="96">
        <f t="shared" ca="1" si="0"/>
        <v>0</v>
      </c>
      <c r="F20" s="96">
        <f t="shared" ca="1" si="1"/>
        <v>0</v>
      </c>
      <c r="G20" s="89">
        <f ca="1">IF(ROUND(SUM(B20:C20,-F20),0)=0,0,IF($B$6="Yes",SUM($C$9:C20),SUM(B20:C20,-F20)))</f>
        <v>0</v>
      </c>
      <c r="H20" s="100"/>
      <c r="I20" s="100"/>
      <c r="J20" s="100"/>
      <c r="K20" s="100"/>
    </row>
    <row r="21" spans="1:11" ht="16.149999999999999" customHeight="1" x14ac:dyDescent="0.25">
      <c r="A21" s="98">
        <v>12</v>
      </c>
      <c r="B21" s="99">
        <f t="shared" ca="1" si="2"/>
        <v>0</v>
      </c>
      <c r="C21" s="99">
        <f ca="1">OFFSET(CashFlow!$B$37,0,ROW($A21)-ROW($A$9),1,1)</f>
        <v>0</v>
      </c>
      <c r="D21" s="96">
        <f t="shared" ca="1" si="3"/>
        <v>0</v>
      </c>
      <c r="E21" s="96">
        <f t="shared" ca="1" si="0"/>
        <v>0</v>
      </c>
      <c r="F21" s="96">
        <f t="shared" ca="1" si="1"/>
        <v>0</v>
      </c>
      <c r="G21" s="89">
        <f ca="1">IF(ROUND(SUM(B21:C21,-F21),0)=0,0,IF($B$6="Yes",SUM($C$9:C21),SUM(B21:C21,-F21)))</f>
        <v>0</v>
      </c>
    </row>
    <row r="22" spans="1:11" ht="16.149999999999999" customHeight="1" x14ac:dyDescent="0.25">
      <c r="A22" s="98">
        <v>13</v>
      </c>
      <c r="B22" s="99">
        <f t="shared" ca="1" si="2"/>
        <v>0</v>
      </c>
      <c r="C22" s="99">
        <f ca="1">OFFSET(CashFlow!$B$37,0,ROW($A22)-ROW($A$9),1,1)</f>
        <v>0</v>
      </c>
      <c r="D22" s="96">
        <f t="shared" ca="1" si="3"/>
        <v>0</v>
      </c>
      <c r="E22" s="96">
        <f t="shared" ca="1" si="0"/>
        <v>0</v>
      </c>
      <c r="F22" s="96">
        <f t="shared" ca="1" si="1"/>
        <v>0</v>
      </c>
      <c r="G22" s="89">
        <f ca="1">IF(ROUND(SUM(B22:C22,-F22),0)=0,0,IF($B$6="Yes",SUM($C$9:C22),SUM(B22:C22,-F22)))</f>
        <v>0</v>
      </c>
    </row>
    <row r="23" spans="1:11" ht="16.149999999999999" customHeight="1" x14ac:dyDescent="0.25">
      <c r="A23" s="98">
        <v>14</v>
      </c>
      <c r="B23" s="99">
        <f t="shared" ca="1" si="2"/>
        <v>0</v>
      </c>
      <c r="C23" s="99">
        <f ca="1">OFFSET(CashFlow!$B$37,0,ROW($A23)-ROW($A$9),1,1)</f>
        <v>0</v>
      </c>
      <c r="D23" s="96">
        <f t="shared" ca="1" si="3"/>
        <v>0</v>
      </c>
      <c r="E23" s="96">
        <f t="shared" ca="1" si="0"/>
        <v>0</v>
      </c>
      <c r="F23" s="96">
        <f t="shared" ca="1" si="1"/>
        <v>0</v>
      </c>
      <c r="G23" s="89">
        <f ca="1">IF(ROUND(SUM(B23:C23,-F23),0)=0,0,IF($B$6="Yes",SUM($C$9:C23),SUM(B23:C23,-F23)))</f>
        <v>0</v>
      </c>
    </row>
    <row r="24" spans="1:11" s="56" customFormat="1" ht="16.149999999999999" customHeight="1" x14ac:dyDescent="0.25">
      <c r="A24" s="98">
        <v>15</v>
      </c>
      <c r="B24" s="99">
        <f t="shared" ca="1" si="2"/>
        <v>0</v>
      </c>
      <c r="C24" s="99">
        <f ca="1">OFFSET(CashFlow!$B$37,0,ROW($A24)-ROW($A$9),1,1)</f>
        <v>0</v>
      </c>
      <c r="D24" s="96">
        <f t="shared" ca="1" si="3"/>
        <v>0</v>
      </c>
      <c r="E24" s="96">
        <f t="shared" ca="1" si="0"/>
        <v>0</v>
      </c>
      <c r="F24" s="96">
        <f t="shared" ca="1" si="1"/>
        <v>0</v>
      </c>
      <c r="G24" s="89">
        <f ca="1">IF(ROUND(SUM(B24:C24,-F24),0)=0,0,IF($B$6="Yes",SUM($C$9:C24),SUM(B24:C24,-F24)))</f>
        <v>0</v>
      </c>
      <c r="H24" s="101"/>
      <c r="I24" s="101"/>
      <c r="J24" s="101"/>
      <c r="K24" s="101"/>
    </row>
  </sheetData>
  <sheetProtection formatCells="0" formatColumns="0" formatRows="0"/>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K24"/>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71" customWidth="1"/>
    <col min="2" max="7" width="13.7109375" style="14" customWidth="1"/>
    <col min="8" max="8" width="2.7109375" style="84" customWidth="1"/>
    <col min="9" max="11" width="15.7109375" style="84" customWidth="1"/>
    <col min="12" max="16" width="15.7109375" style="5" customWidth="1"/>
    <col min="17" max="16384" width="9.140625" style="5"/>
  </cols>
  <sheetData>
    <row r="1" spans="1:11" ht="16.149999999999999" customHeight="1" x14ac:dyDescent="0.25">
      <c r="A1" s="102" t="str">
        <f>IF(ISBLANK(Assumptions!$C$4),"Example Limited",Assumptions!$C$4)</f>
        <v>Maisha Transport Company Limited</v>
      </c>
      <c r="B1" s="16"/>
      <c r="C1" s="16"/>
      <c r="D1" s="16"/>
      <c r="G1" s="83"/>
    </row>
    <row r="2" spans="1:11" ht="16.149999999999999" customHeight="1" x14ac:dyDescent="0.25">
      <c r="A2" s="6" t="s">
        <v>166</v>
      </c>
      <c r="B2" s="16"/>
      <c r="C2" s="16"/>
      <c r="D2" s="16"/>
      <c r="G2" s="83"/>
    </row>
    <row r="4" spans="1:11" ht="16.149999999999999" customHeight="1" x14ac:dyDescent="0.25">
      <c r="A4" s="71" t="s">
        <v>14</v>
      </c>
      <c r="B4" s="85">
        <f>Assumptions!$F$75</f>
        <v>0.115</v>
      </c>
      <c r="C4" s="86"/>
      <c r="D4" s="86"/>
    </row>
    <row r="5" spans="1:11" ht="16.149999999999999" customHeight="1" x14ac:dyDescent="0.25">
      <c r="A5" s="71" t="s">
        <v>20</v>
      </c>
      <c r="B5" s="87">
        <f>Assumptions!$F$76</f>
        <v>4</v>
      </c>
      <c r="C5" s="17"/>
      <c r="D5" s="17"/>
    </row>
    <row r="6" spans="1:11" ht="16.149999999999999" customHeight="1" x14ac:dyDescent="0.25">
      <c r="A6" s="71" t="s">
        <v>21</v>
      </c>
      <c r="B6" s="88" t="str">
        <f>Assumptions!$F$77</f>
        <v>No</v>
      </c>
      <c r="C6" s="89"/>
      <c r="D6" s="89"/>
    </row>
    <row r="7" spans="1:11" ht="16.149999999999999" customHeight="1" x14ac:dyDescent="0.25">
      <c r="A7" s="7" t="s">
        <v>37</v>
      </c>
    </row>
    <row r="8" spans="1:11" s="93" customFormat="1" ht="25.5" x14ac:dyDescent="0.25">
      <c r="A8" s="90" t="s">
        <v>23</v>
      </c>
      <c r="B8" s="91" t="s">
        <v>24</v>
      </c>
      <c r="C8" s="91" t="s">
        <v>227</v>
      </c>
      <c r="D8" s="91" t="s">
        <v>42</v>
      </c>
      <c r="E8" s="91" t="s">
        <v>228</v>
      </c>
      <c r="F8" s="91" t="s">
        <v>38</v>
      </c>
      <c r="G8" s="91" t="s">
        <v>25</v>
      </c>
      <c r="H8" s="92"/>
      <c r="I8" s="92"/>
      <c r="J8" s="92"/>
      <c r="K8" s="92"/>
    </row>
    <row r="9" spans="1:11" s="1" customFormat="1" ht="16.149999999999999" customHeight="1" x14ac:dyDescent="0.25">
      <c r="A9" s="94">
        <v>0</v>
      </c>
      <c r="B9" s="95">
        <v>0</v>
      </c>
      <c r="C9" s="95">
        <f ca="1">-SUMIF(Assumptions!$A$79:$C$102,"FIN",Assumptions!$C$79:$C$102)</f>
        <v>0</v>
      </c>
      <c r="D9" s="95">
        <v>0</v>
      </c>
      <c r="E9" s="89">
        <v>0</v>
      </c>
      <c r="F9" s="96">
        <f>IF($B$6="Yes",0,D9-E9)</f>
        <v>0</v>
      </c>
      <c r="G9" s="89">
        <f ca="1">IF(ROUND(SUM(B9:C9,-F9),0)=0,0,IF($B$6="Yes",SUM($C$9:C9),SUM(B9:C9,-F9)))</f>
        <v>0</v>
      </c>
      <c r="H9" s="97"/>
      <c r="I9" s="97"/>
      <c r="J9" s="97"/>
      <c r="K9" s="97"/>
    </row>
    <row r="10" spans="1:11" s="71" customFormat="1" ht="16.149999999999999" customHeight="1" x14ac:dyDescent="0.25">
      <c r="A10" s="98">
        <v>1</v>
      </c>
      <c r="B10" s="99">
        <f ca="1">G9</f>
        <v>0</v>
      </c>
      <c r="C10" s="99">
        <f ca="1">OFFSET(CashFlow!$B$38,0,ROW($A10)-ROW($A$9),1,1)</f>
        <v>0</v>
      </c>
      <c r="D10" s="96">
        <f ca="1">IF($B$6="Yes",0,IF(ROW(C10)-ROW($C$9)&gt;$B$5,-PMT($B$4,$B$5,SUM(OFFSET(C10,0,0,-$B$5,1)),0,0),-PMT($B$4,$B$5,SUM(OFFSET(C10,0,0,ROW($C$8)-ROW(C10),1)),0,0)))</f>
        <v>0</v>
      </c>
      <c r="E10" s="96">
        <f t="shared" ref="E10:E24" ca="1" si="0">(G9+C10)*$B$4</f>
        <v>0</v>
      </c>
      <c r="F10" s="96">
        <f t="shared" ref="F10:F24" ca="1" si="1">IF($B$6="Yes",0,D10-E10)</f>
        <v>0</v>
      </c>
      <c r="G10" s="89">
        <f ca="1">IF(ROUND(SUM(B10:C10,-F10),0)=0,0,IF($B$6="Yes",SUM($C$9:C10),SUM(B10:C10,-F10)))</f>
        <v>0</v>
      </c>
      <c r="H10" s="100"/>
      <c r="I10" s="97"/>
      <c r="J10" s="100"/>
      <c r="K10" s="100"/>
    </row>
    <row r="11" spans="1:11" s="71" customFormat="1" ht="16.149999999999999" customHeight="1" x14ac:dyDescent="0.25">
      <c r="A11" s="98">
        <v>2</v>
      </c>
      <c r="B11" s="99">
        <f t="shared" ref="B11:B24" ca="1" si="2">G10</f>
        <v>0</v>
      </c>
      <c r="C11" s="99">
        <f ca="1">OFFSET(CashFlow!$B$38,0,ROW($A11)-ROW($A$9),1,1)</f>
        <v>0</v>
      </c>
      <c r="D11" s="96">
        <f t="shared" ref="D11:D24" ca="1" si="3">IF($B$6="Yes",0,IF(ROW(C11)-ROW($C$9)&gt;$B$5,-PMT($B$4,$B$5,SUM(OFFSET(C11,0,0,-$B$5,1)),0,0),-PMT($B$4,$B$5,SUM(OFFSET(C11,0,0,ROW($C$8)-ROW(C11),1)),0,0)))</f>
        <v>0</v>
      </c>
      <c r="E11" s="96">
        <f t="shared" ca="1" si="0"/>
        <v>0</v>
      </c>
      <c r="F11" s="96">
        <f t="shared" ca="1" si="1"/>
        <v>0</v>
      </c>
      <c r="G11" s="89">
        <f ca="1">IF(ROUND(SUM(B11:C11,-F11),0)=0,0,IF($B$6="Yes",SUM($C$9:C11),SUM(B11:C11,-F11)))</f>
        <v>0</v>
      </c>
      <c r="H11" s="100"/>
      <c r="I11" s="100"/>
      <c r="J11" s="100"/>
      <c r="K11" s="100"/>
    </row>
    <row r="12" spans="1:11" s="71" customFormat="1" ht="16.149999999999999" customHeight="1" x14ac:dyDescent="0.25">
      <c r="A12" s="98">
        <v>3</v>
      </c>
      <c r="B12" s="99">
        <f t="shared" ca="1" si="2"/>
        <v>0</v>
      </c>
      <c r="C12" s="99">
        <f ca="1">OFFSET(CashFlow!$B$38,0,ROW($A12)-ROW($A$9),1,1)</f>
        <v>0</v>
      </c>
      <c r="D12" s="96">
        <f t="shared" ca="1" si="3"/>
        <v>0</v>
      </c>
      <c r="E12" s="96">
        <f t="shared" ca="1" si="0"/>
        <v>0</v>
      </c>
      <c r="F12" s="96">
        <f t="shared" ca="1" si="1"/>
        <v>0</v>
      </c>
      <c r="G12" s="89">
        <f ca="1">IF(ROUND(SUM(B12:C12,-F12),0)=0,0,IF($B$6="Yes",SUM($C$9:C12),SUM(B12:C12,-F12)))</f>
        <v>0</v>
      </c>
      <c r="H12" s="100"/>
      <c r="I12" s="100"/>
      <c r="J12" s="100"/>
      <c r="K12" s="100"/>
    </row>
    <row r="13" spans="1:11" s="71" customFormat="1" ht="16.149999999999999" customHeight="1" x14ac:dyDescent="0.25">
      <c r="A13" s="98">
        <v>4</v>
      </c>
      <c r="B13" s="99">
        <f t="shared" ca="1" si="2"/>
        <v>0</v>
      </c>
      <c r="C13" s="99">
        <f ca="1">OFFSET(CashFlow!$B$38,0,ROW($A13)-ROW($A$9),1,1)</f>
        <v>0</v>
      </c>
      <c r="D13" s="96">
        <f t="shared" ca="1" si="3"/>
        <v>0</v>
      </c>
      <c r="E13" s="96">
        <f t="shared" ca="1" si="0"/>
        <v>0</v>
      </c>
      <c r="F13" s="96">
        <f t="shared" ca="1" si="1"/>
        <v>0</v>
      </c>
      <c r="G13" s="89">
        <f ca="1">IF(ROUND(SUM(B13:C13,-F13),0)=0,0,IF($B$6="Yes",SUM($C$9:C13),SUM(B13:C13,-F13)))</f>
        <v>0</v>
      </c>
      <c r="H13" s="100"/>
      <c r="I13" s="100"/>
      <c r="J13" s="100"/>
      <c r="K13" s="100"/>
    </row>
    <row r="14" spans="1:11" s="71" customFormat="1" ht="16.149999999999999" customHeight="1" x14ac:dyDescent="0.25">
      <c r="A14" s="98">
        <v>5</v>
      </c>
      <c r="B14" s="99">
        <f t="shared" ca="1" si="2"/>
        <v>0</v>
      </c>
      <c r="C14" s="99">
        <f ca="1">OFFSET(CashFlow!$B$38,0,ROW($A14)-ROW($A$9),1,1)</f>
        <v>0</v>
      </c>
      <c r="D14" s="96">
        <f t="shared" ca="1" si="3"/>
        <v>0</v>
      </c>
      <c r="E14" s="96">
        <f t="shared" ca="1" si="0"/>
        <v>0</v>
      </c>
      <c r="F14" s="96">
        <f t="shared" ca="1" si="1"/>
        <v>0</v>
      </c>
      <c r="G14" s="89">
        <f ca="1">IF(ROUND(SUM(B14:C14,-F14),0)=0,0,IF($B$6="Yes",SUM($C$9:C14),SUM(B14:C14,-F14)))</f>
        <v>0</v>
      </c>
      <c r="H14" s="100"/>
      <c r="I14" s="100"/>
      <c r="J14" s="100"/>
      <c r="K14" s="100"/>
    </row>
    <row r="15" spans="1:11" s="71" customFormat="1" ht="16.149999999999999" customHeight="1" x14ac:dyDescent="0.25">
      <c r="A15" s="98">
        <v>6</v>
      </c>
      <c r="B15" s="99">
        <f t="shared" ca="1" si="2"/>
        <v>0</v>
      </c>
      <c r="C15" s="99">
        <f ca="1">OFFSET(CashFlow!$B$38,0,ROW($A15)-ROW($A$9),1,1)</f>
        <v>0</v>
      </c>
      <c r="D15" s="96">
        <f t="shared" ca="1" si="3"/>
        <v>0</v>
      </c>
      <c r="E15" s="96">
        <f t="shared" ca="1" si="0"/>
        <v>0</v>
      </c>
      <c r="F15" s="96">
        <f t="shared" ca="1" si="1"/>
        <v>0</v>
      </c>
      <c r="G15" s="89">
        <f ca="1">IF(ROUND(SUM(B15:C15,-F15),0)=0,0,IF($B$6="Yes",SUM($C$9:C15),SUM(B15:C15,-F15)))</f>
        <v>0</v>
      </c>
      <c r="H15" s="100"/>
      <c r="I15" s="100"/>
      <c r="J15" s="100"/>
      <c r="K15" s="100"/>
    </row>
    <row r="16" spans="1:11" s="71" customFormat="1" ht="16.149999999999999" customHeight="1" x14ac:dyDescent="0.25">
      <c r="A16" s="98">
        <v>7</v>
      </c>
      <c r="B16" s="99">
        <f t="shared" ca="1" si="2"/>
        <v>0</v>
      </c>
      <c r="C16" s="99">
        <f ca="1">OFFSET(CashFlow!$B$38,0,ROW($A16)-ROW($A$9),1,1)</f>
        <v>0</v>
      </c>
      <c r="D16" s="96">
        <f t="shared" ca="1" si="3"/>
        <v>0</v>
      </c>
      <c r="E16" s="96">
        <f t="shared" ca="1" si="0"/>
        <v>0</v>
      </c>
      <c r="F16" s="96">
        <f t="shared" ca="1" si="1"/>
        <v>0</v>
      </c>
      <c r="G16" s="89">
        <f ca="1">IF(ROUND(SUM(B16:C16,-F16),0)=0,0,IF($B$6="Yes",SUM($C$9:C16),SUM(B16:C16,-F16)))</f>
        <v>0</v>
      </c>
      <c r="H16" s="100"/>
      <c r="I16" s="100"/>
      <c r="J16" s="100"/>
      <c r="K16" s="100"/>
    </row>
    <row r="17" spans="1:11" s="71" customFormat="1" ht="16.149999999999999" customHeight="1" x14ac:dyDescent="0.25">
      <c r="A17" s="98">
        <v>8</v>
      </c>
      <c r="B17" s="99">
        <f t="shared" ca="1" si="2"/>
        <v>0</v>
      </c>
      <c r="C17" s="99">
        <f ca="1">OFFSET(CashFlow!$B$38,0,ROW($A17)-ROW($A$9),1,1)</f>
        <v>0</v>
      </c>
      <c r="D17" s="96">
        <f t="shared" ca="1" si="3"/>
        <v>0</v>
      </c>
      <c r="E17" s="96">
        <f t="shared" ca="1" si="0"/>
        <v>0</v>
      </c>
      <c r="F17" s="96">
        <f t="shared" ca="1" si="1"/>
        <v>0</v>
      </c>
      <c r="G17" s="89">
        <f ca="1">IF(ROUND(SUM(B17:C17,-F17),0)=0,0,IF($B$6="Yes",SUM($C$9:C17),SUM(B17:C17,-F17)))</f>
        <v>0</v>
      </c>
      <c r="H17" s="100"/>
      <c r="I17" s="100"/>
      <c r="J17" s="100"/>
      <c r="K17" s="100"/>
    </row>
    <row r="18" spans="1:11" s="71" customFormat="1" ht="16.149999999999999" customHeight="1" x14ac:dyDescent="0.25">
      <c r="A18" s="98">
        <v>9</v>
      </c>
      <c r="B18" s="99">
        <f t="shared" ca="1" si="2"/>
        <v>0</v>
      </c>
      <c r="C18" s="99">
        <f ca="1">OFFSET(CashFlow!$B$38,0,ROW($A18)-ROW($A$9),1,1)</f>
        <v>0</v>
      </c>
      <c r="D18" s="96">
        <f t="shared" ca="1" si="3"/>
        <v>0</v>
      </c>
      <c r="E18" s="96">
        <f t="shared" ca="1" si="0"/>
        <v>0</v>
      </c>
      <c r="F18" s="96">
        <f t="shared" ca="1" si="1"/>
        <v>0</v>
      </c>
      <c r="G18" s="89">
        <f ca="1">IF(ROUND(SUM(B18:C18,-F18),0)=0,0,IF($B$6="Yes",SUM($C$9:C18),SUM(B18:C18,-F18)))</f>
        <v>0</v>
      </c>
      <c r="H18" s="100"/>
      <c r="I18" s="100"/>
      <c r="J18" s="100"/>
      <c r="K18" s="100"/>
    </row>
    <row r="19" spans="1:11" s="71" customFormat="1" ht="16.149999999999999" customHeight="1" x14ac:dyDescent="0.25">
      <c r="A19" s="98">
        <v>10</v>
      </c>
      <c r="B19" s="99">
        <f t="shared" ca="1" si="2"/>
        <v>0</v>
      </c>
      <c r="C19" s="99">
        <f ca="1">OFFSET(CashFlow!$B$38,0,ROW($A19)-ROW($A$9),1,1)</f>
        <v>0</v>
      </c>
      <c r="D19" s="96">
        <f t="shared" ca="1" si="3"/>
        <v>0</v>
      </c>
      <c r="E19" s="96">
        <f t="shared" ca="1" si="0"/>
        <v>0</v>
      </c>
      <c r="F19" s="96">
        <f t="shared" ca="1" si="1"/>
        <v>0</v>
      </c>
      <c r="G19" s="89">
        <f ca="1">IF(ROUND(SUM(B19:C19,-F19),0)=0,0,IF($B$6="Yes",SUM($C$9:C19),SUM(B19:C19,-F19)))</f>
        <v>0</v>
      </c>
      <c r="H19" s="100"/>
      <c r="I19" s="100"/>
      <c r="J19" s="100"/>
      <c r="K19" s="100"/>
    </row>
    <row r="20" spans="1:11" s="71" customFormat="1" ht="16.149999999999999" customHeight="1" x14ac:dyDescent="0.25">
      <c r="A20" s="98">
        <v>11</v>
      </c>
      <c r="B20" s="99">
        <f t="shared" ca="1" si="2"/>
        <v>0</v>
      </c>
      <c r="C20" s="99">
        <f ca="1">OFFSET(CashFlow!$B$38,0,ROW($A20)-ROW($A$9),1,1)</f>
        <v>0</v>
      </c>
      <c r="D20" s="96">
        <f t="shared" ca="1" si="3"/>
        <v>0</v>
      </c>
      <c r="E20" s="96">
        <f t="shared" ca="1" si="0"/>
        <v>0</v>
      </c>
      <c r="F20" s="96">
        <f t="shared" ca="1" si="1"/>
        <v>0</v>
      </c>
      <c r="G20" s="89">
        <f ca="1">IF(ROUND(SUM(B20:C20,-F20),0)=0,0,IF($B$6="Yes",SUM($C$9:C20),SUM(B20:C20,-F20)))</f>
        <v>0</v>
      </c>
      <c r="H20" s="100"/>
      <c r="I20" s="100"/>
      <c r="J20" s="100"/>
      <c r="K20" s="100"/>
    </row>
    <row r="21" spans="1:11" ht="16.149999999999999" customHeight="1" x14ac:dyDescent="0.25">
      <c r="A21" s="98">
        <v>12</v>
      </c>
      <c r="B21" s="99">
        <f t="shared" ca="1" si="2"/>
        <v>0</v>
      </c>
      <c r="C21" s="99">
        <f ca="1">OFFSET(CashFlow!$B$38,0,ROW($A21)-ROW($A$9),1,1)</f>
        <v>0</v>
      </c>
      <c r="D21" s="96">
        <f t="shared" ca="1" si="3"/>
        <v>0</v>
      </c>
      <c r="E21" s="96">
        <f t="shared" ca="1" si="0"/>
        <v>0</v>
      </c>
      <c r="F21" s="96">
        <f t="shared" ca="1" si="1"/>
        <v>0</v>
      </c>
      <c r="G21" s="89">
        <f ca="1">IF(ROUND(SUM(B21:C21,-F21),0)=0,0,IF($B$6="Yes",SUM($C$9:C21),SUM(B21:C21,-F21)))</f>
        <v>0</v>
      </c>
    </row>
    <row r="22" spans="1:11" ht="16.149999999999999" customHeight="1" x14ac:dyDescent="0.25">
      <c r="A22" s="98">
        <v>13</v>
      </c>
      <c r="B22" s="99">
        <f t="shared" ca="1" si="2"/>
        <v>0</v>
      </c>
      <c r="C22" s="99">
        <f ca="1">OFFSET(CashFlow!$B$38,0,ROW($A22)-ROW($A$9),1,1)</f>
        <v>0</v>
      </c>
      <c r="D22" s="96">
        <f t="shared" ca="1" si="3"/>
        <v>0</v>
      </c>
      <c r="E22" s="96">
        <f t="shared" ca="1" si="0"/>
        <v>0</v>
      </c>
      <c r="F22" s="96">
        <f t="shared" ca="1" si="1"/>
        <v>0</v>
      </c>
      <c r="G22" s="89">
        <f ca="1">IF(ROUND(SUM(B22:C22,-F22),0)=0,0,IF($B$6="Yes",SUM($C$9:C22),SUM(B22:C22,-F22)))</f>
        <v>0</v>
      </c>
    </row>
    <row r="23" spans="1:11" ht="16.149999999999999" customHeight="1" x14ac:dyDescent="0.25">
      <c r="A23" s="98">
        <v>14</v>
      </c>
      <c r="B23" s="99">
        <f t="shared" ca="1" si="2"/>
        <v>0</v>
      </c>
      <c r="C23" s="99">
        <f ca="1">OFFSET(CashFlow!$B$38,0,ROW($A23)-ROW($A$9),1,1)</f>
        <v>0</v>
      </c>
      <c r="D23" s="96">
        <f t="shared" ca="1" si="3"/>
        <v>0</v>
      </c>
      <c r="E23" s="96">
        <f t="shared" ca="1" si="0"/>
        <v>0</v>
      </c>
      <c r="F23" s="96">
        <f t="shared" ca="1" si="1"/>
        <v>0</v>
      </c>
      <c r="G23" s="89">
        <f ca="1">IF(ROUND(SUM(B23:C23,-F23),0)=0,0,IF($B$6="Yes",SUM($C$9:C23),SUM(B23:C23,-F23)))</f>
        <v>0</v>
      </c>
    </row>
    <row r="24" spans="1:11" s="56" customFormat="1" ht="16.149999999999999" customHeight="1" x14ac:dyDescent="0.25">
      <c r="A24" s="98">
        <v>15</v>
      </c>
      <c r="B24" s="99">
        <f t="shared" ca="1" si="2"/>
        <v>0</v>
      </c>
      <c r="C24" s="99">
        <f ca="1">OFFSET(CashFlow!$B$38,0,ROW($A24)-ROW($A$9),1,1)</f>
        <v>0</v>
      </c>
      <c r="D24" s="96">
        <f t="shared" ca="1" si="3"/>
        <v>0</v>
      </c>
      <c r="E24" s="96">
        <f t="shared" ca="1" si="0"/>
        <v>0</v>
      </c>
      <c r="F24" s="96">
        <f t="shared" ca="1" si="1"/>
        <v>0</v>
      </c>
      <c r="G24" s="89">
        <f ca="1">IF(ROUND(SUM(B24:C24,-F24),0)=0,0,IF($B$6="Yes",SUM($C$9:C24),SUM(B24:C24,-F24)))</f>
        <v>0</v>
      </c>
      <c r="H24" s="101"/>
      <c r="I24" s="101"/>
      <c r="J24" s="101"/>
      <c r="K24" s="101"/>
    </row>
  </sheetData>
  <sheetProtection formatCells="0" formatColumns="0" formatRows="0"/>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A482-54F0-4DFD-9DEB-70AF63F741B6}">
  <sheetPr>
    <pageSetUpPr fitToPage="1"/>
  </sheetPr>
  <dimension ref="B2:G26"/>
  <sheetViews>
    <sheetView topLeftCell="A13" workbookViewId="0">
      <selection activeCell="B2" sqref="B2:G26"/>
    </sheetView>
  </sheetViews>
  <sheetFormatPr defaultRowHeight="13.5" x14ac:dyDescent="0.25"/>
  <cols>
    <col min="2" max="2" width="30.28515625" bestFit="1" customWidth="1"/>
    <col min="3" max="3" width="14.7109375" bestFit="1" customWidth="1"/>
    <col min="4" max="4" width="19.5703125" bestFit="1" customWidth="1"/>
    <col min="5" max="5" width="15.5703125" bestFit="1" customWidth="1"/>
    <col min="6" max="6" width="14.85546875" bestFit="1" customWidth="1"/>
    <col min="7" max="7" width="21.42578125" bestFit="1" customWidth="1"/>
  </cols>
  <sheetData>
    <row r="2" spans="2:7" ht="16.5" x14ac:dyDescent="0.3">
      <c r="B2" s="138" t="s">
        <v>402</v>
      </c>
      <c r="C2" s="139"/>
      <c r="D2" s="139"/>
      <c r="E2" s="139"/>
      <c r="F2" s="139"/>
      <c r="G2" s="139"/>
    </row>
    <row r="3" spans="2:7" ht="17.25" thickBot="1" x14ac:dyDescent="0.35">
      <c r="B3" s="138"/>
      <c r="C3" s="139"/>
      <c r="D3" s="139"/>
      <c r="E3" s="139"/>
      <c r="F3" s="139"/>
      <c r="G3" s="139"/>
    </row>
    <row r="4" spans="2:7" ht="16.5" x14ac:dyDescent="0.3">
      <c r="B4" s="140" t="s">
        <v>403</v>
      </c>
      <c r="C4" s="141"/>
      <c r="D4" s="142" t="s">
        <v>404</v>
      </c>
      <c r="E4" s="139"/>
      <c r="F4" s="139"/>
      <c r="G4" s="139"/>
    </row>
    <row r="5" spans="2:7" ht="16.5" x14ac:dyDescent="0.3">
      <c r="B5" s="143" t="s">
        <v>405</v>
      </c>
      <c r="C5" s="139"/>
      <c r="D5" s="144" t="s">
        <v>406</v>
      </c>
      <c r="E5" s="139"/>
      <c r="F5" s="139"/>
      <c r="G5" s="139"/>
    </row>
    <row r="6" spans="2:7" ht="16.5" x14ac:dyDescent="0.3">
      <c r="B6" s="143" t="s">
        <v>407</v>
      </c>
      <c r="C6" s="139"/>
      <c r="D6" s="144" t="s">
        <v>408</v>
      </c>
      <c r="E6" s="139"/>
      <c r="F6" s="139"/>
      <c r="G6" s="139"/>
    </row>
    <row r="7" spans="2:7" ht="17.25" thickBot="1" x14ac:dyDescent="0.35">
      <c r="B7" s="145" t="s">
        <v>409</v>
      </c>
      <c r="C7" s="146"/>
      <c r="D7" s="147" t="s">
        <v>410</v>
      </c>
      <c r="E7" s="139"/>
      <c r="F7" s="139"/>
      <c r="G7" s="139"/>
    </row>
    <row r="8" spans="2:7" ht="16.5" x14ac:dyDescent="0.3">
      <c r="B8" s="139"/>
      <c r="C8" s="139"/>
      <c r="D8" s="139"/>
      <c r="E8" s="139"/>
      <c r="F8" s="139"/>
      <c r="G8" s="139"/>
    </row>
    <row r="9" spans="2:7" ht="16.5" x14ac:dyDescent="0.3">
      <c r="B9" s="139"/>
      <c r="C9" s="139"/>
      <c r="D9" s="139"/>
      <c r="E9" s="139"/>
      <c r="F9" s="139"/>
      <c r="G9" s="139"/>
    </row>
    <row r="10" spans="2:7" ht="17.25" thickBot="1" x14ac:dyDescent="0.35">
      <c r="B10" s="139"/>
      <c r="C10" s="139"/>
      <c r="D10" s="139"/>
      <c r="E10" s="139"/>
      <c r="F10" s="139"/>
      <c r="G10" s="139"/>
    </row>
    <row r="11" spans="2:7" ht="15.75" thickBot="1" x14ac:dyDescent="0.3">
      <c r="B11" s="148" t="s">
        <v>411</v>
      </c>
      <c r="C11" s="149" t="s">
        <v>412</v>
      </c>
      <c r="D11" s="149" t="s">
        <v>413</v>
      </c>
      <c r="E11" s="149" t="s">
        <v>426</v>
      </c>
      <c r="F11" s="149" t="s">
        <v>427</v>
      </c>
      <c r="G11" s="156" t="s">
        <v>428</v>
      </c>
    </row>
    <row r="12" spans="2:7" ht="16.5" x14ac:dyDescent="0.3">
      <c r="B12" s="150" t="s">
        <v>414</v>
      </c>
      <c r="C12" s="151">
        <v>10</v>
      </c>
      <c r="D12" s="151">
        <f>$D$26*C12</f>
        <v>260</v>
      </c>
      <c r="E12" s="157">
        <f>$D$25*D12</f>
        <v>3120</v>
      </c>
      <c r="F12" s="158">
        <v>600198.52100000007</v>
      </c>
      <c r="G12" s="159">
        <f>E12*F12</f>
        <v>1872619385.5200002</v>
      </c>
    </row>
    <row r="13" spans="2:7" ht="16.5" x14ac:dyDescent="0.3">
      <c r="B13" s="150" t="s">
        <v>415</v>
      </c>
      <c r="C13" s="151">
        <v>20</v>
      </c>
      <c r="D13" s="151">
        <f>$D$26*C13</f>
        <v>520</v>
      </c>
      <c r="E13" s="157">
        <f>$D$25*D13</f>
        <v>6240</v>
      </c>
      <c r="F13" s="158">
        <v>1003702.3049999999</v>
      </c>
      <c r="G13" s="159">
        <f t="shared" ref="G13:G16" si="0">E13*F13</f>
        <v>6263102383.1999998</v>
      </c>
    </row>
    <row r="14" spans="2:7" ht="16.5" x14ac:dyDescent="0.3">
      <c r="B14" s="150" t="s">
        <v>416</v>
      </c>
      <c r="C14" s="151">
        <v>50</v>
      </c>
      <c r="D14" s="151">
        <f>$D$26*C14</f>
        <v>1300</v>
      </c>
      <c r="E14" s="157">
        <f>$D$25*D14</f>
        <v>15600</v>
      </c>
      <c r="F14" s="158">
        <v>1173481.83</v>
      </c>
      <c r="G14" s="159">
        <f t="shared" si="0"/>
        <v>18306316548</v>
      </c>
    </row>
    <row r="15" spans="2:7" ht="16.5" x14ac:dyDescent="0.3">
      <c r="B15" s="150" t="s">
        <v>417</v>
      </c>
      <c r="C15" s="151">
        <v>15</v>
      </c>
      <c r="D15" s="151">
        <f>$D$26*C15</f>
        <v>390</v>
      </c>
      <c r="E15" s="157">
        <f>$D$25*D15</f>
        <v>4680</v>
      </c>
      <c r="F15" s="158">
        <v>1427790.5460000001</v>
      </c>
      <c r="G15" s="159">
        <f t="shared" si="0"/>
        <v>6682059755.2800007</v>
      </c>
    </row>
    <row r="16" spans="2:7" ht="17.25" thickBot="1" x14ac:dyDescent="0.35">
      <c r="B16" s="150" t="s">
        <v>418</v>
      </c>
      <c r="C16" s="151">
        <v>5</v>
      </c>
      <c r="D16" s="151">
        <f>$D$26*C16</f>
        <v>130</v>
      </c>
      <c r="E16" s="157">
        <f>$D$25*D16</f>
        <v>1560</v>
      </c>
      <c r="F16" s="158">
        <v>4403738.82</v>
      </c>
      <c r="G16" s="159">
        <f t="shared" si="0"/>
        <v>6869832559.2000008</v>
      </c>
    </row>
    <row r="17" spans="2:7" ht="15.75" thickBot="1" x14ac:dyDescent="0.3">
      <c r="B17" s="152" t="s">
        <v>419</v>
      </c>
      <c r="C17" s="149">
        <f>SUM(C12:C16)</f>
        <v>100</v>
      </c>
      <c r="D17" s="149">
        <f>SUM(D12:D16)</f>
        <v>2600</v>
      </c>
      <c r="E17" s="160">
        <f>SUM(E12:E16)</f>
        <v>31200</v>
      </c>
      <c r="F17" s="161">
        <v>4380684.38</v>
      </c>
      <c r="G17" s="162">
        <f>SUM(G12:G16)</f>
        <v>39993930631.199997</v>
      </c>
    </row>
    <row r="18" spans="2:7" ht="16.5" x14ac:dyDescent="0.3">
      <c r="B18" s="139"/>
      <c r="C18" s="139"/>
      <c r="D18" s="139"/>
      <c r="E18" s="139"/>
      <c r="F18" s="139"/>
      <c r="G18" s="139"/>
    </row>
    <row r="19" spans="2:7" ht="16.5" x14ac:dyDescent="0.3">
      <c r="B19" s="139"/>
      <c r="C19" s="139"/>
      <c r="D19" s="139"/>
      <c r="E19" s="139"/>
      <c r="F19" s="139"/>
      <c r="G19" s="139"/>
    </row>
    <row r="20" spans="2:7" ht="16.5" x14ac:dyDescent="0.3">
      <c r="B20" s="138" t="s">
        <v>420</v>
      </c>
      <c r="C20" s="139"/>
      <c r="D20" s="139"/>
      <c r="E20" s="139"/>
      <c r="F20" s="139"/>
      <c r="G20" s="139"/>
    </row>
    <row r="21" spans="2:7" ht="17.25" thickBot="1" x14ac:dyDescent="0.35">
      <c r="B21" s="139"/>
      <c r="C21" s="139"/>
      <c r="D21" s="139"/>
      <c r="E21" s="139"/>
      <c r="F21" s="139"/>
      <c r="G21" s="139"/>
    </row>
    <row r="22" spans="2:7" ht="16.5" x14ac:dyDescent="0.3">
      <c r="B22" s="140" t="s">
        <v>421</v>
      </c>
      <c r="C22" s="141"/>
      <c r="D22" s="153">
        <v>6</v>
      </c>
      <c r="E22" s="139"/>
      <c r="F22" s="139"/>
      <c r="G22" s="139"/>
    </row>
    <row r="23" spans="2:7" ht="16.5" x14ac:dyDescent="0.3">
      <c r="B23" s="143" t="s">
        <v>422</v>
      </c>
      <c r="C23" s="139"/>
      <c r="D23" s="154">
        <v>52</v>
      </c>
      <c r="E23" s="139"/>
      <c r="F23" s="139"/>
      <c r="G23" s="139"/>
    </row>
    <row r="24" spans="2:7" ht="16.5" x14ac:dyDescent="0.3">
      <c r="B24" s="143" t="s">
        <v>423</v>
      </c>
      <c r="C24" s="139"/>
      <c r="D24" s="154">
        <v>312</v>
      </c>
      <c r="E24" s="139"/>
      <c r="F24" s="139"/>
      <c r="G24" s="139"/>
    </row>
    <row r="25" spans="2:7" ht="16.5" x14ac:dyDescent="0.3">
      <c r="B25" s="143" t="s">
        <v>424</v>
      </c>
      <c r="C25" s="139"/>
      <c r="D25" s="154">
        <v>12</v>
      </c>
      <c r="E25" s="139"/>
      <c r="F25" s="139"/>
      <c r="G25" s="139"/>
    </row>
    <row r="26" spans="2:7" ht="17.25" thickBot="1" x14ac:dyDescent="0.35">
      <c r="B26" s="145" t="s">
        <v>425</v>
      </c>
      <c r="C26" s="146"/>
      <c r="D26" s="155">
        <v>26</v>
      </c>
      <c r="E26" s="139"/>
      <c r="F26" s="139"/>
      <c r="G26" s="139"/>
    </row>
  </sheetData>
  <pageMargins left="0.7" right="0.7" top="0.75" bottom="0.75" header="0.3" footer="0.3"/>
  <pageSetup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08"/>
  <sheetViews>
    <sheetView topLeftCell="A73" zoomScale="95" zoomScaleNormal="95" workbookViewId="0">
      <selection activeCell="C80" sqref="C80:C91"/>
    </sheetView>
  </sheetViews>
  <sheetFormatPr defaultColWidth="9.140625" defaultRowHeight="16.149999999999999" customHeight="1" x14ac:dyDescent="0.3"/>
  <cols>
    <col min="1" max="1" width="5.7109375" style="104" customWidth="1"/>
    <col min="2" max="2" width="40.7109375" style="5" customWidth="1"/>
    <col min="3" max="3" width="15.7109375" style="14" customWidth="1"/>
    <col min="4" max="7" width="15.7109375" style="18" customWidth="1"/>
    <col min="8" max="8" width="8.7109375" style="18" customWidth="1"/>
    <col min="9" max="9" width="15.7109375" style="18" customWidth="1"/>
    <col min="10" max="15" width="15.7109375" style="5" customWidth="1"/>
    <col min="16" max="16384" width="9.140625" style="5"/>
  </cols>
  <sheetData>
    <row r="1" spans="2:9" ht="16.149999999999999" customHeight="1" x14ac:dyDescent="0.3">
      <c r="B1" s="103" t="str">
        <f>IF(ISBLANK(Assumptions!$C$4),"Example Limited",Assumptions!$C$4)</f>
        <v>Maisha Transport Company Limited</v>
      </c>
      <c r="C1" s="3"/>
      <c r="D1" s="4"/>
      <c r="E1" s="4"/>
      <c r="F1" s="4"/>
      <c r="G1" s="4"/>
      <c r="H1" s="4"/>
      <c r="I1" s="4"/>
    </row>
    <row r="2" spans="2:9" ht="16.149999999999999" customHeight="1" x14ac:dyDescent="0.3">
      <c r="B2" s="6" t="s">
        <v>45</v>
      </c>
      <c r="C2" s="3"/>
      <c r="D2" s="4"/>
      <c r="E2" s="4"/>
      <c r="F2" s="4"/>
      <c r="G2" s="4"/>
      <c r="H2" s="4"/>
      <c r="I2" s="4"/>
    </row>
    <row r="3" spans="2:9" ht="16.149999999999999" customHeight="1" x14ac:dyDescent="0.3">
      <c r="B3" s="7" t="s">
        <v>37</v>
      </c>
      <c r="C3" s="4"/>
      <c r="D3" s="4"/>
      <c r="E3" s="4"/>
      <c r="F3" s="4"/>
      <c r="G3" s="4"/>
      <c r="H3" s="4"/>
      <c r="I3" s="4"/>
    </row>
    <row r="4" spans="2:9" ht="16.149999999999999" customHeight="1" x14ac:dyDescent="0.3">
      <c r="B4" s="2" t="s">
        <v>44</v>
      </c>
      <c r="C4" s="181" t="s">
        <v>395</v>
      </c>
      <c r="D4" s="182"/>
      <c r="E4" s="183"/>
      <c r="F4" s="4"/>
      <c r="G4" s="4"/>
      <c r="H4" s="4"/>
      <c r="I4" s="4"/>
    </row>
    <row r="5" spans="2:9" ht="16.149999999999999" customHeight="1" x14ac:dyDescent="0.3">
      <c r="B5" s="2" t="s">
        <v>69</v>
      </c>
      <c r="C5" s="8">
        <v>45839</v>
      </c>
      <c r="D5" s="9"/>
      <c r="E5" s="9"/>
      <c r="F5" s="4"/>
      <c r="G5" s="4"/>
      <c r="H5" s="4"/>
      <c r="I5" s="4"/>
    </row>
    <row r="6" spans="2:9" ht="16.149999999999999" customHeight="1" x14ac:dyDescent="0.3">
      <c r="B6" s="7"/>
      <c r="C6" s="4"/>
      <c r="D6" s="4"/>
      <c r="E6" s="4"/>
      <c r="F6" s="4"/>
      <c r="G6" s="4"/>
      <c r="H6" s="4"/>
      <c r="I6" s="4"/>
    </row>
    <row r="7" spans="2:9" ht="16.149999999999999" customHeight="1" x14ac:dyDescent="0.3">
      <c r="B7" s="2" t="s">
        <v>70</v>
      </c>
      <c r="C7" s="5"/>
      <c r="D7" s="10"/>
      <c r="E7" s="10"/>
      <c r="F7" s="10"/>
      <c r="G7" s="11"/>
      <c r="H7" s="4"/>
      <c r="I7" s="4"/>
    </row>
    <row r="8" spans="2:9" ht="16.149999999999999" customHeight="1" x14ac:dyDescent="0.3">
      <c r="B8" s="6" t="s">
        <v>80</v>
      </c>
      <c r="C8" s="5"/>
      <c r="D8" s="10"/>
      <c r="E8" s="10"/>
      <c r="F8" s="10"/>
      <c r="G8" s="11"/>
      <c r="H8" s="4"/>
      <c r="I8" s="4"/>
    </row>
    <row r="9" spans="2:9" ht="16.149999999999999" customHeight="1" x14ac:dyDescent="0.3">
      <c r="B9" s="6" t="s">
        <v>105</v>
      </c>
      <c r="C9" s="5"/>
      <c r="D9" s="10"/>
      <c r="E9" s="10"/>
      <c r="F9" s="10"/>
      <c r="G9" s="11"/>
      <c r="H9" s="4"/>
      <c r="I9" s="4"/>
    </row>
    <row r="10" spans="2:9" ht="16.149999999999999" customHeight="1" x14ac:dyDescent="0.3">
      <c r="B10" s="2" t="s">
        <v>1</v>
      </c>
      <c r="C10" s="12"/>
      <c r="D10" s="13" t="s">
        <v>3</v>
      </c>
      <c r="E10" s="13" t="s">
        <v>4</v>
      </c>
      <c r="F10" s="13" t="s">
        <v>28</v>
      </c>
      <c r="G10" s="13" t="s">
        <v>29</v>
      </c>
      <c r="H10" s="4"/>
      <c r="I10" s="4"/>
    </row>
    <row r="11" spans="2:9" ht="16.149999999999999" customHeight="1" x14ac:dyDescent="0.3">
      <c r="B11" s="6" t="s">
        <v>71</v>
      </c>
      <c r="D11" s="15">
        <v>0.08</v>
      </c>
      <c r="E11" s="15">
        <v>0.08</v>
      </c>
      <c r="F11" s="15">
        <v>0.08</v>
      </c>
      <c r="G11" s="15">
        <v>0.08</v>
      </c>
      <c r="H11" s="4"/>
      <c r="I11" s="4"/>
    </row>
    <row r="12" spans="2:9" ht="16.149999999999999" customHeight="1" x14ac:dyDescent="0.3">
      <c r="B12" s="2" t="s">
        <v>5</v>
      </c>
      <c r="C12" s="16"/>
      <c r="D12" s="13"/>
      <c r="E12" s="13"/>
      <c r="F12" s="13"/>
      <c r="G12" s="13"/>
      <c r="H12" s="4"/>
      <c r="I12" s="4"/>
    </row>
    <row r="13" spans="2:9" ht="16.149999999999999" customHeight="1" x14ac:dyDescent="0.3">
      <c r="B13" s="6" t="s">
        <v>90</v>
      </c>
      <c r="D13" s="5"/>
      <c r="E13" s="5"/>
      <c r="F13" s="5"/>
      <c r="G13" s="5"/>
      <c r="H13" s="4"/>
      <c r="I13" s="4"/>
    </row>
    <row r="14" spans="2:9" ht="16.149999999999999" customHeight="1" x14ac:dyDescent="0.3">
      <c r="B14" s="6" t="s">
        <v>91</v>
      </c>
      <c r="D14" s="5"/>
      <c r="E14" s="5"/>
      <c r="F14" s="5"/>
      <c r="G14" s="5"/>
      <c r="H14" s="4"/>
      <c r="I14" s="4"/>
    </row>
    <row r="15" spans="2:9" ht="16.149999999999999" customHeight="1" x14ac:dyDescent="0.3">
      <c r="B15" s="2" t="s">
        <v>72</v>
      </c>
      <c r="C15" s="16"/>
      <c r="D15" s="5"/>
      <c r="E15" s="5"/>
      <c r="F15" s="5"/>
      <c r="G15" s="5"/>
      <c r="H15" s="4"/>
      <c r="I15" s="4"/>
    </row>
    <row r="16" spans="2:9" ht="16.149999999999999" customHeight="1" x14ac:dyDescent="0.3">
      <c r="B16" s="6" t="s">
        <v>92</v>
      </c>
      <c r="D16" s="17"/>
      <c r="H16" s="4"/>
      <c r="I16" s="4"/>
    </row>
    <row r="17" spans="2:9" ht="16.149999999999999" customHeight="1" x14ac:dyDescent="0.3">
      <c r="B17" s="6" t="s">
        <v>93</v>
      </c>
      <c r="D17" s="13" t="s">
        <v>3</v>
      </c>
      <c r="E17" s="13" t="s">
        <v>4</v>
      </c>
      <c r="F17" s="13" t="s">
        <v>28</v>
      </c>
      <c r="G17" s="13" t="s">
        <v>29</v>
      </c>
      <c r="H17" s="4"/>
      <c r="I17" s="4"/>
    </row>
    <row r="18" spans="2:9" ht="16.149999999999999" customHeight="1" x14ac:dyDescent="0.3">
      <c r="B18" s="6" t="s">
        <v>73</v>
      </c>
      <c r="D18" s="15">
        <v>0.06</v>
      </c>
      <c r="E18" s="15">
        <v>0.06</v>
      </c>
      <c r="F18" s="15">
        <v>0.06</v>
      </c>
      <c r="G18" s="15">
        <v>0.06</v>
      </c>
      <c r="H18" s="4"/>
      <c r="I18" s="4"/>
    </row>
    <row r="19" spans="2:9" ht="16.149999999999999" customHeight="1" x14ac:dyDescent="0.3">
      <c r="B19" s="2" t="s">
        <v>74</v>
      </c>
      <c r="C19" s="16"/>
      <c r="D19" s="13"/>
      <c r="E19" s="13"/>
      <c r="F19" s="13"/>
      <c r="G19" s="13"/>
      <c r="H19" s="4"/>
      <c r="I19" s="4"/>
    </row>
    <row r="20" spans="2:9" ht="16.149999999999999" customHeight="1" x14ac:dyDescent="0.3">
      <c r="B20" s="6" t="s">
        <v>94</v>
      </c>
      <c r="D20" s="17"/>
      <c r="H20" s="4"/>
      <c r="I20" s="4"/>
    </row>
    <row r="21" spans="2:9" ht="16.149999999999999" customHeight="1" x14ac:dyDescent="0.3">
      <c r="B21" s="6" t="s">
        <v>95</v>
      </c>
      <c r="D21" s="17"/>
      <c r="H21" s="4"/>
      <c r="I21" s="4"/>
    </row>
    <row r="22" spans="2:9" ht="16.149999999999999" customHeight="1" x14ac:dyDescent="0.3">
      <c r="B22" s="2" t="s">
        <v>75</v>
      </c>
      <c r="C22" s="16"/>
      <c r="D22" s="13" t="s">
        <v>3</v>
      </c>
      <c r="E22" s="13" t="s">
        <v>4</v>
      </c>
      <c r="F22" s="13" t="s">
        <v>28</v>
      </c>
      <c r="G22" s="13" t="s">
        <v>29</v>
      </c>
      <c r="H22" s="4"/>
      <c r="I22" s="4"/>
    </row>
    <row r="23" spans="2:9" ht="16.149999999999999" customHeight="1" x14ac:dyDescent="0.3">
      <c r="B23" s="6" t="s">
        <v>103</v>
      </c>
      <c r="C23" s="16"/>
      <c r="D23" s="13"/>
      <c r="E23" s="13"/>
      <c r="F23" s="13"/>
      <c r="G23" s="13"/>
      <c r="H23" s="4"/>
      <c r="I23" s="4"/>
    </row>
    <row r="24" spans="2:9" ht="16.149999999999999" customHeight="1" x14ac:dyDescent="0.3">
      <c r="B24" s="6" t="s">
        <v>104</v>
      </c>
      <c r="C24" s="16"/>
      <c r="D24" s="13"/>
      <c r="E24" s="13"/>
      <c r="F24" s="13"/>
      <c r="G24" s="13"/>
      <c r="H24" s="4"/>
      <c r="I24" s="4"/>
    </row>
    <row r="25" spans="2:9" ht="16.149999999999999" customHeight="1" x14ac:dyDescent="0.3">
      <c r="B25" s="6" t="s">
        <v>76</v>
      </c>
      <c r="D25" s="19">
        <v>280845625</v>
      </c>
      <c r="E25" s="19">
        <v>280845625</v>
      </c>
      <c r="F25" s="19">
        <v>280845625</v>
      </c>
      <c r="G25" s="19">
        <v>280845625</v>
      </c>
      <c r="H25" s="4"/>
      <c r="I25" s="4"/>
    </row>
    <row r="26" spans="2:9" ht="16.149999999999999" customHeight="1" x14ac:dyDescent="0.3">
      <c r="B26" s="6" t="s">
        <v>77</v>
      </c>
      <c r="D26" s="19"/>
      <c r="E26" s="19"/>
      <c r="F26" s="19"/>
      <c r="G26" s="19"/>
      <c r="H26" s="4"/>
      <c r="I26" s="4"/>
    </row>
    <row r="27" spans="2:9" ht="16.149999999999999" customHeight="1" x14ac:dyDescent="0.3">
      <c r="B27" s="2" t="s">
        <v>78</v>
      </c>
      <c r="D27" s="5"/>
      <c r="E27" s="5"/>
      <c r="F27" s="5"/>
      <c r="G27" s="5"/>
      <c r="H27" s="4"/>
      <c r="I27" s="4"/>
    </row>
    <row r="28" spans="2:9" ht="16.149999999999999" customHeight="1" x14ac:dyDescent="0.3">
      <c r="B28" s="6" t="s">
        <v>79</v>
      </c>
      <c r="D28" s="5"/>
      <c r="E28" s="5"/>
      <c r="F28" s="5"/>
      <c r="G28" s="5"/>
      <c r="H28" s="4"/>
      <c r="I28" s="4"/>
    </row>
    <row r="29" spans="2:9" ht="16.149999999999999" customHeight="1" x14ac:dyDescent="0.3">
      <c r="B29" s="7"/>
      <c r="C29" s="4"/>
      <c r="D29" s="4"/>
      <c r="E29" s="4"/>
      <c r="F29" s="4"/>
      <c r="G29" s="4"/>
      <c r="H29" s="4"/>
      <c r="I29" s="4"/>
    </row>
    <row r="30" spans="2:9" ht="16.149999999999999" customHeight="1" x14ac:dyDescent="0.3">
      <c r="B30" s="2" t="s">
        <v>113</v>
      </c>
      <c r="D30" s="5"/>
      <c r="E30" s="5"/>
      <c r="F30" s="5"/>
      <c r="G30" s="5"/>
      <c r="H30" s="4"/>
      <c r="I30" s="4"/>
    </row>
    <row r="31" spans="2:9" ht="16.149999999999999" customHeight="1" x14ac:dyDescent="0.3">
      <c r="B31" s="6" t="s">
        <v>122</v>
      </c>
      <c r="D31" s="20"/>
      <c r="E31" s="20"/>
      <c r="F31" s="20"/>
      <c r="G31" s="20"/>
      <c r="H31" s="4"/>
      <c r="I31" s="4"/>
    </row>
    <row r="32" spans="2:9" ht="16.149999999999999" customHeight="1" x14ac:dyDescent="0.3">
      <c r="B32" s="6" t="s">
        <v>123</v>
      </c>
      <c r="D32" s="20"/>
      <c r="E32" s="20"/>
      <c r="F32" s="20"/>
      <c r="G32" s="20"/>
      <c r="H32" s="4"/>
      <c r="I32" s="4"/>
    </row>
    <row r="33" spans="1:9" ht="16.149999999999999" customHeight="1" x14ac:dyDescent="0.3">
      <c r="B33" s="6"/>
      <c r="C33" s="21" t="s">
        <v>2</v>
      </c>
      <c r="D33" s="21" t="s">
        <v>3</v>
      </c>
      <c r="E33" s="21" t="s">
        <v>4</v>
      </c>
      <c r="F33" s="21" t="s">
        <v>28</v>
      </c>
      <c r="G33" s="21" t="s">
        <v>29</v>
      </c>
      <c r="H33" s="4"/>
      <c r="I33" s="4"/>
    </row>
    <row r="34" spans="1:9" ht="16.149999999999999" customHeight="1" x14ac:dyDescent="0.3">
      <c r="A34" s="105" t="s">
        <v>124</v>
      </c>
      <c r="B34" s="5" t="s">
        <v>114</v>
      </c>
      <c r="C34" s="19">
        <v>0</v>
      </c>
      <c r="D34" s="19">
        <v>0</v>
      </c>
      <c r="E34" s="19">
        <v>0</v>
      </c>
      <c r="F34" s="19">
        <v>0</v>
      </c>
      <c r="G34" s="19">
        <v>0</v>
      </c>
      <c r="H34" s="4"/>
      <c r="I34" s="4"/>
    </row>
    <row r="35" spans="1:9" ht="16.149999999999999" customHeight="1" x14ac:dyDescent="0.3">
      <c r="A35" s="106" t="s">
        <v>125</v>
      </c>
      <c r="B35" s="5" t="s">
        <v>115</v>
      </c>
      <c r="C35" s="19">
        <v>0</v>
      </c>
      <c r="D35" s="19">
        <v>0</v>
      </c>
      <c r="E35" s="19">
        <v>0</v>
      </c>
      <c r="F35" s="19">
        <v>0</v>
      </c>
      <c r="G35" s="19">
        <v>0</v>
      </c>
      <c r="H35" s="4"/>
      <c r="I35" s="4"/>
    </row>
    <row r="36" spans="1:9" ht="16.149999999999999" customHeight="1" x14ac:dyDescent="0.3">
      <c r="A36" s="106" t="s">
        <v>126</v>
      </c>
      <c r="B36" s="5" t="s">
        <v>116</v>
      </c>
      <c r="C36" s="19">
        <v>0</v>
      </c>
      <c r="D36" s="19">
        <v>0</v>
      </c>
      <c r="E36" s="19">
        <v>0</v>
      </c>
      <c r="F36" s="19">
        <v>0</v>
      </c>
      <c r="G36" s="19">
        <v>0</v>
      </c>
      <c r="H36" s="4"/>
      <c r="I36" s="4"/>
    </row>
    <row r="37" spans="1:9" ht="16.149999999999999" customHeight="1" x14ac:dyDescent="0.3">
      <c r="A37" s="105" t="s">
        <v>127</v>
      </c>
      <c r="B37" s="5" t="s">
        <v>117</v>
      </c>
      <c r="C37" s="19">
        <v>0</v>
      </c>
      <c r="D37" s="19">
        <v>0</v>
      </c>
      <c r="E37" s="19">
        <v>0</v>
      </c>
      <c r="F37" s="19">
        <v>0</v>
      </c>
      <c r="G37" s="19">
        <v>0</v>
      </c>
      <c r="H37" s="4"/>
      <c r="I37" s="4"/>
    </row>
    <row r="38" spans="1:9" ht="16.149999999999999" customHeight="1" x14ac:dyDescent="0.3">
      <c r="A38" s="105" t="s">
        <v>128</v>
      </c>
      <c r="B38" s="5" t="s">
        <v>118</v>
      </c>
      <c r="C38" s="19">
        <v>0</v>
      </c>
      <c r="D38" s="19">
        <v>0</v>
      </c>
      <c r="E38" s="19">
        <v>0</v>
      </c>
      <c r="F38" s="19">
        <v>0</v>
      </c>
      <c r="G38" s="19">
        <v>0</v>
      </c>
      <c r="H38" s="4"/>
      <c r="I38" s="4"/>
    </row>
    <row r="39" spans="1:9" ht="16.149999999999999" customHeight="1" x14ac:dyDescent="0.3">
      <c r="A39" s="106" t="s">
        <v>129</v>
      </c>
      <c r="B39" s="5" t="s">
        <v>57</v>
      </c>
      <c r="C39" s="30">
        <v>4290765000</v>
      </c>
      <c r="D39" s="19">
        <v>0</v>
      </c>
      <c r="E39" s="19">
        <v>0</v>
      </c>
      <c r="F39" s="19">
        <v>0</v>
      </c>
      <c r="G39" s="19">
        <v>0</v>
      </c>
      <c r="H39" s="4"/>
      <c r="I39" s="4"/>
    </row>
    <row r="40" spans="1:9" ht="16.149999999999999" customHeight="1" x14ac:dyDescent="0.3">
      <c r="A40" s="106" t="s">
        <v>130</v>
      </c>
      <c r="B40" s="5" t="s">
        <v>119</v>
      </c>
      <c r="C40" s="19">
        <v>0</v>
      </c>
      <c r="D40" s="19">
        <v>0</v>
      </c>
      <c r="E40" s="19">
        <v>0</v>
      </c>
      <c r="F40" s="19">
        <v>0</v>
      </c>
      <c r="G40" s="19">
        <v>0</v>
      </c>
      <c r="H40" s="4"/>
      <c r="I40" s="4"/>
    </row>
    <row r="41" spans="1:9" ht="16.149999999999999" customHeight="1" x14ac:dyDescent="0.3">
      <c r="A41" s="106" t="s">
        <v>131</v>
      </c>
      <c r="B41" s="5" t="s">
        <v>120</v>
      </c>
      <c r="C41" s="19">
        <v>0</v>
      </c>
      <c r="D41" s="19">
        <v>0</v>
      </c>
      <c r="E41" s="19">
        <v>0</v>
      </c>
      <c r="F41" s="19">
        <v>0</v>
      </c>
      <c r="G41" s="19">
        <v>0</v>
      </c>
      <c r="H41" s="4"/>
      <c r="I41" s="4"/>
    </row>
    <row r="42" spans="1:9" ht="16.149999999999999" customHeight="1" x14ac:dyDescent="0.3">
      <c r="A42" s="105" t="s">
        <v>132</v>
      </c>
      <c r="B42" s="5" t="s">
        <v>60</v>
      </c>
      <c r="C42" s="19">
        <v>0</v>
      </c>
      <c r="D42" s="19">
        <v>0</v>
      </c>
      <c r="E42" s="19">
        <v>0</v>
      </c>
      <c r="F42" s="19">
        <v>0</v>
      </c>
      <c r="G42" s="19">
        <v>0</v>
      </c>
      <c r="H42" s="4"/>
      <c r="I42" s="4"/>
    </row>
    <row r="43" spans="1:9" ht="16.149999999999999" customHeight="1" x14ac:dyDescent="0.3">
      <c r="A43" s="105" t="s">
        <v>133</v>
      </c>
      <c r="B43" s="5" t="s">
        <v>134</v>
      </c>
      <c r="C43" s="19">
        <v>0</v>
      </c>
      <c r="D43" s="19">
        <v>0</v>
      </c>
      <c r="E43" s="19">
        <v>0</v>
      </c>
      <c r="F43" s="19">
        <v>0</v>
      </c>
      <c r="G43" s="19">
        <v>0</v>
      </c>
      <c r="H43" s="4"/>
      <c r="I43" s="4"/>
    </row>
    <row r="44" spans="1:9" ht="16.149999999999999" customHeight="1" x14ac:dyDescent="0.3">
      <c r="A44" s="105" t="s">
        <v>135</v>
      </c>
      <c r="B44" s="5" t="s">
        <v>136</v>
      </c>
      <c r="C44" s="19">
        <v>0</v>
      </c>
      <c r="D44" s="19">
        <v>0</v>
      </c>
      <c r="E44" s="19">
        <v>0</v>
      </c>
      <c r="F44" s="19">
        <v>0</v>
      </c>
      <c r="G44" s="19">
        <v>0</v>
      </c>
      <c r="H44" s="4"/>
      <c r="I44" s="4"/>
    </row>
    <row r="45" spans="1:9" ht="16.149999999999999" customHeight="1" x14ac:dyDescent="0.3">
      <c r="A45" s="105" t="s">
        <v>137</v>
      </c>
      <c r="B45" s="5" t="s">
        <v>138</v>
      </c>
      <c r="C45" s="19">
        <v>0</v>
      </c>
      <c r="D45" s="19">
        <v>0</v>
      </c>
      <c r="E45" s="19">
        <v>0</v>
      </c>
      <c r="F45" s="19">
        <v>0</v>
      </c>
      <c r="G45" s="19">
        <v>0</v>
      </c>
      <c r="H45" s="4"/>
      <c r="I45" s="4"/>
    </row>
    <row r="46" spans="1:9" ht="16.149999999999999" customHeight="1" x14ac:dyDescent="0.3">
      <c r="A46" s="105" t="s">
        <v>139</v>
      </c>
      <c r="B46" s="5" t="s">
        <v>140</v>
      </c>
      <c r="C46" s="19">
        <v>0</v>
      </c>
      <c r="D46" s="19">
        <v>0</v>
      </c>
      <c r="E46" s="19">
        <v>0</v>
      </c>
      <c r="F46" s="19">
        <v>0</v>
      </c>
      <c r="G46" s="19">
        <v>0</v>
      </c>
      <c r="H46" s="4"/>
      <c r="I46" s="4"/>
    </row>
    <row r="47" spans="1:9" ht="16.149999999999999" customHeight="1" x14ac:dyDescent="0.3">
      <c r="D47" s="6"/>
      <c r="E47" s="5"/>
      <c r="F47" s="5"/>
      <c r="G47" s="5"/>
      <c r="H47" s="4"/>
      <c r="I47" s="4"/>
    </row>
    <row r="48" spans="1:9" ht="16.149999999999999" customHeight="1" x14ac:dyDescent="0.3">
      <c r="B48" s="6" t="s">
        <v>121</v>
      </c>
      <c r="D48" s="6"/>
      <c r="E48" s="5"/>
      <c r="F48" s="5"/>
      <c r="G48" s="5"/>
      <c r="H48" s="4"/>
      <c r="I48" s="4"/>
    </row>
    <row r="49" spans="2:8" ht="16.149999999999999" customHeight="1" x14ac:dyDescent="0.3">
      <c r="B49" s="2" t="s">
        <v>7</v>
      </c>
      <c r="C49" s="16"/>
    </row>
    <row r="50" spans="2:8" ht="16.149999999999999" customHeight="1" x14ac:dyDescent="0.3">
      <c r="B50" s="5" t="s">
        <v>12</v>
      </c>
      <c r="C50" s="23">
        <v>30</v>
      </c>
      <c r="D50" s="5"/>
      <c r="E50" s="5"/>
      <c r="F50" s="5"/>
      <c r="G50" s="5"/>
      <c r="H50" s="5"/>
    </row>
    <row r="51" spans="2:8" ht="16.149999999999999" customHeight="1" x14ac:dyDescent="0.3">
      <c r="B51" s="5" t="s">
        <v>10</v>
      </c>
      <c r="C51" s="23">
        <v>25</v>
      </c>
      <c r="D51" s="5"/>
      <c r="E51" s="5"/>
      <c r="F51" s="5"/>
      <c r="G51" s="5"/>
      <c r="H51" s="5"/>
    </row>
    <row r="52" spans="2:8" ht="16.149999999999999" customHeight="1" x14ac:dyDescent="0.3">
      <c r="B52" s="5" t="s">
        <v>11</v>
      </c>
      <c r="C52" s="23">
        <v>20</v>
      </c>
      <c r="D52" s="5"/>
      <c r="E52" s="5"/>
      <c r="F52" s="5"/>
      <c r="G52" s="5"/>
      <c r="H52" s="5"/>
    </row>
    <row r="53" spans="2:8" ht="16.149999999999999" customHeight="1" x14ac:dyDescent="0.3">
      <c r="B53" s="5" t="s">
        <v>141</v>
      </c>
      <c r="C53" s="5"/>
      <c r="E53" s="17"/>
      <c r="F53" s="17"/>
      <c r="H53" s="17"/>
    </row>
    <row r="54" spans="2:8" ht="16.149999999999999" customHeight="1" x14ac:dyDescent="0.3">
      <c r="B54" s="5" t="s">
        <v>142</v>
      </c>
      <c r="C54" s="24">
        <v>0.2</v>
      </c>
      <c r="E54" s="17"/>
      <c r="F54" s="17"/>
      <c r="H54" s="17"/>
    </row>
    <row r="55" spans="2:8" ht="16.149999999999999" customHeight="1" x14ac:dyDescent="0.3">
      <c r="B55" s="5" t="s">
        <v>143</v>
      </c>
      <c r="C55" s="23">
        <v>1</v>
      </c>
      <c r="E55" s="17"/>
      <c r="F55" s="17"/>
      <c r="H55" s="17"/>
    </row>
    <row r="56" spans="2:8" ht="16.149999999999999" customHeight="1" x14ac:dyDescent="0.3">
      <c r="B56" s="5" t="s">
        <v>144</v>
      </c>
      <c r="C56" s="23">
        <v>1</v>
      </c>
      <c r="D56" s="25">
        <f>IF(C55=0,1,C56-((ROUNDUP(C56/C55,0))-1)*C55)</f>
        <v>1</v>
      </c>
      <c r="E56" s="17"/>
      <c r="F56" s="17"/>
      <c r="H56" s="17"/>
    </row>
    <row r="57" spans="2:8" ht="16.149999999999999" customHeight="1" x14ac:dyDescent="0.3">
      <c r="B57" s="5" t="s">
        <v>145</v>
      </c>
      <c r="C57" s="23" t="s">
        <v>146</v>
      </c>
      <c r="D57" s="25">
        <f>IF(C57="Current",0,1)</f>
        <v>1</v>
      </c>
      <c r="E57" s="17"/>
      <c r="F57" s="17"/>
      <c r="H57" s="17"/>
    </row>
    <row r="58" spans="2:8" ht="16.149999999999999" customHeight="1" x14ac:dyDescent="0.3">
      <c r="B58" s="2" t="s">
        <v>147</v>
      </c>
      <c r="C58" s="12"/>
      <c r="D58" s="13"/>
      <c r="H58" s="17"/>
    </row>
    <row r="59" spans="2:8" ht="16.149999999999999" customHeight="1" x14ac:dyDescent="0.3">
      <c r="B59" s="6" t="s">
        <v>148</v>
      </c>
      <c r="C59" s="12"/>
      <c r="D59" s="5"/>
      <c r="H59" s="17"/>
    </row>
    <row r="60" spans="2:8" ht="16.149999999999999" customHeight="1" x14ac:dyDescent="0.3">
      <c r="B60" s="26" t="s">
        <v>149</v>
      </c>
      <c r="C60" s="15">
        <v>0.18</v>
      </c>
      <c r="D60" s="5"/>
      <c r="H60" s="17"/>
    </row>
    <row r="61" spans="2:8" ht="16.149999999999999" customHeight="1" x14ac:dyDescent="0.3">
      <c r="B61" s="26" t="s">
        <v>150</v>
      </c>
      <c r="C61" s="15">
        <v>0</v>
      </c>
      <c r="D61" s="5"/>
      <c r="H61" s="17"/>
    </row>
    <row r="62" spans="2:8" ht="16.149999999999999" customHeight="1" x14ac:dyDescent="0.3">
      <c r="B62" s="26" t="s">
        <v>151</v>
      </c>
      <c r="C62" s="15">
        <v>0</v>
      </c>
      <c r="D62" s="5"/>
      <c r="H62" s="17"/>
    </row>
    <row r="63" spans="2:8" ht="16.149999999999999" customHeight="1" x14ac:dyDescent="0.3">
      <c r="B63" s="26" t="s">
        <v>152</v>
      </c>
      <c r="C63" s="15">
        <v>0</v>
      </c>
      <c r="D63" s="5"/>
      <c r="H63" s="17"/>
    </row>
    <row r="64" spans="2:8" ht="16.149999999999999" customHeight="1" x14ac:dyDescent="0.3">
      <c r="B64" s="5" t="s">
        <v>143</v>
      </c>
      <c r="C64" s="23">
        <v>1</v>
      </c>
      <c r="H64" s="17"/>
    </row>
    <row r="65" spans="1:8" ht="16.149999999999999" customHeight="1" x14ac:dyDescent="0.3">
      <c r="B65" s="5" t="s">
        <v>144</v>
      </c>
      <c r="C65" s="23">
        <v>1</v>
      </c>
      <c r="D65" s="25">
        <f>IF(C64=0,1,C65-((ROUNDUP(C65/C64,0))-1)*C64)</f>
        <v>1</v>
      </c>
      <c r="H65" s="17"/>
    </row>
    <row r="66" spans="1:8" ht="16.149999999999999" customHeight="1" x14ac:dyDescent="0.3">
      <c r="B66" s="5" t="s">
        <v>145</v>
      </c>
      <c r="C66" s="23" t="s">
        <v>146</v>
      </c>
      <c r="D66" s="25">
        <f>IF(C66="Current",0,1)</f>
        <v>1</v>
      </c>
      <c r="H66" s="17"/>
    </row>
    <row r="67" spans="1:8" ht="16.149999999999999" customHeight="1" x14ac:dyDescent="0.3">
      <c r="B67" s="2" t="s">
        <v>153</v>
      </c>
      <c r="C67" s="16"/>
      <c r="H67" s="17"/>
    </row>
    <row r="68" spans="1:8" ht="16.149999999999999" customHeight="1" x14ac:dyDescent="0.3">
      <c r="B68" s="5" t="s">
        <v>13</v>
      </c>
      <c r="C68" s="24">
        <v>0.3</v>
      </c>
      <c r="H68" s="17"/>
    </row>
    <row r="69" spans="1:8" ht="16.149999999999999" customHeight="1" x14ac:dyDescent="0.3">
      <c r="B69" s="5" t="s">
        <v>154</v>
      </c>
      <c r="C69" s="23">
        <v>0</v>
      </c>
      <c r="H69" s="17"/>
    </row>
    <row r="70" spans="1:8" ht="16.149999999999999" customHeight="1" x14ac:dyDescent="0.3">
      <c r="B70" s="5" t="s">
        <v>143</v>
      </c>
      <c r="C70" s="23">
        <v>12</v>
      </c>
      <c r="H70" s="17"/>
    </row>
    <row r="71" spans="1:8" ht="16.149999999999999" customHeight="1" x14ac:dyDescent="0.3">
      <c r="B71" s="5" t="s">
        <v>144</v>
      </c>
      <c r="C71" s="23">
        <v>1</v>
      </c>
      <c r="D71" s="25">
        <f>IF(C70=0,1,C71-((ROUNDUP(C71/C70,0))-1)*C70)</f>
        <v>1</v>
      </c>
      <c r="H71" s="17"/>
    </row>
    <row r="72" spans="1:8" ht="16.149999999999999" customHeight="1" x14ac:dyDescent="0.3">
      <c r="B72" s="5" t="s">
        <v>145</v>
      </c>
      <c r="C72" s="23" t="s">
        <v>155</v>
      </c>
      <c r="D72" s="25">
        <f>IF(C72="Subsequent",1,0)</f>
        <v>0</v>
      </c>
      <c r="H72" s="17"/>
    </row>
    <row r="73" spans="1:8" ht="16.149999999999999" customHeight="1" x14ac:dyDescent="0.3">
      <c r="B73" s="6" t="s">
        <v>156</v>
      </c>
      <c r="C73" s="5"/>
      <c r="D73" s="25"/>
      <c r="H73" s="17"/>
    </row>
    <row r="74" spans="1:8" ht="16.149999999999999" customHeight="1" x14ac:dyDescent="0.3">
      <c r="B74" s="2" t="s">
        <v>40</v>
      </c>
      <c r="C74" s="21" t="s">
        <v>157</v>
      </c>
      <c r="D74" s="21" t="s">
        <v>158</v>
      </c>
      <c r="E74" s="21" t="s">
        <v>159</v>
      </c>
      <c r="F74" s="21" t="s">
        <v>160</v>
      </c>
      <c r="G74" s="17"/>
      <c r="H74" s="17"/>
    </row>
    <row r="75" spans="1:8" ht="16.149999999999999" customHeight="1" x14ac:dyDescent="0.3">
      <c r="B75" s="5" t="s">
        <v>14</v>
      </c>
      <c r="C75" s="27">
        <v>0.12</v>
      </c>
      <c r="D75" s="27">
        <v>9.2499999999999999E-2</v>
      </c>
      <c r="E75" s="27">
        <v>0.125</v>
      </c>
      <c r="F75" s="27">
        <v>0.115</v>
      </c>
      <c r="G75" s="17"/>
      <c r="H75" s="17"/>
    </row>
    <row r="76" spans="1:8" ht="16.149999999999999" customHeight="1" x14ac:dyDescent="0.3">
      <c r="B76" s="5" t="s">
        <v>161</v>
      </c>
      <c r="C76" s="28">
        <v>5</v>
      </c>
      <c r="D76" s="28">
        <v>8</v>
      </c>
      <c r="E76" s="28">
        <v>5</v>
      </c>
      <c r="F76" s="28">
        <v>4</v>
      </c>
      <c r="G76" s="17"/>
      <c r="H76" s="17"/>
    </row>
    <row r="77" spans="1:8" ht="16.149999999999999" customHeight="1" x14ac:dyDescent="0.3">
      <c r="B77" s="5" t="s">
        <v>21</v>
      </c>
      <c r="C77" s="29" t="s">
        <v>41</v>
      </c>
      <c r="D77" s="29" t="s">
        <v>41</v>
      </c>
      <c r="E77" s="29" t="s">
        <v>41</v>
      </c>
      <c r="F77" s="29" t="s">
        <v>41</v>
      </c>
      <c r="G77" s="17"/>
      <c r="H77" s="17"/>
    </row>
    <row r="78" spans="1:8" ht="16.149999999999999" customHeight="1" x14ac:dyDescent="0.3">
      <c r="B78" s="6" t="s">
        <v>162</v>
      </c>
      <c r="C78" s="5"/>
      <c r="D78" s="5"/>
      <c r="E78" s="5"/>
      <c r="F78" s="5"/>
      <c r="G78" s="17"/>
      <c r="H78" s="17"/>
    </row>
    <row r="79" spans="1:8" ht="16.149999999999999" customHeight="1" x14ac:dyDescent="0.3">
      <c r="B79" s="2" t="s">
        <v>163</v>
      </c>
      <c r="D79" s="17"/>
      <c r="E79" s="17"/>
      <c r="F79" s="17"/>
      <c r="G79" s="17"/>
      <c r="H79" s="17"/>
    </row>
    <row r="80" spans="1:8" ht="16.149999999999999" customHeight="1" x14ac:dyDescent="0.3">
      <c r="A80" s="105" t="s">
        <v>129</v>
      </c>
      <c r="B80" s="5" t="s">
        <v>30</v>
      </c>
      <c r="C80" s="30">
        <v>7893509995</v>
      </c>
      <c r="D80" s="31" t="str">
        <f>IF(ROUND(SUM(C79:C103),0)&lt;&gt;0,"The total of all the start-up balances should be nil!","")</f>
        <v/>
      </c>
      <c r="E80" s="17"/>
      <c r="F80" s="17"/>
      <c r="G80" s="17"/>
      <c r="H80" s="17"/>
    </row>
    <row r="81" spans="1:8" ht="16.149999999999999" customHeight="1" x14ac:dyDescent="0.3">
      <c r="A81" s="105" t="s">
        <v>130</v>
      </c>
      <c r="B81" s="5" t="s">
        <v>175</v>
      </c>
      <c r="C81" s="30"/>
      <c r="D81" s="17"/>
      <c r="E81" s="17"/>
      <c r="F81" s="17"/>
      <c r="G81" s="17"/>
      <c r="H81" s="17"/>
    </row>
    <row r="82" spans="1:8" ht="16.149999999999999" customHeight="1" x14ac:dyDescent="0.3">
      <c r="A82" s="105" t="s">
        <v>131</v>
      </c>
      <c r="B82" s="5" t="s">
        <v>176</v>
      </c>
      <c r="C82" s="30"/>
      <c r="D82" s="17"/>
      <c r="E82" s="17"/>
      <c r="F82" s="17"/>
      <c r="G82" s="17"/>
      <c r="H82" s="17"/>
    </row>
    <row r="83" spans="1:8" ht="16.149999999999999" customHeight="1" x14ac:dyDescent="0.3">
      <c r="A83" s="105" t="s">
        <v>125</v>
      </c>
      <c r="B83" s="5" t="s">
        <v>115</v>
      </c>
      <c r="C83" s="30"/>
      <c r="D83" s="17"/>
      <c r="E83" s="17"/>
      <c r="F83" s="17"/>
      <c r="G83" s="17"/>
      <c r="H83" s="17"/>
    </row>
    <row r="84" spans="1:8" ht="16.149999999999999" customHeight="1" x14ac:dyDescent="0.3">
      <c r="A84" s="105" t="s">
        <v>188</v>
      </c>
      <c r="B84" s="5" t="s">
        <v>6</v>
      </c>
      <c r="C84" s="30"/>
      <c r="D84" s="17"/>
      <c r="E84" s="17"/>
      <c r="F84" s="17"/>
      <c r="G84" s="17"/>
      <c r="H84" s="17"/>
    </row>
    <row r="85" spans="1:8" ht="16.149999999999999" customHeight="1" x14ac:dyDescent="0.3">
      <c r="A85" s="105" t="s">
        <v>189</v>
      </c>
      <c r="B85" s="5" t="s">
        <v>177</v>
      </c>
      <c r="C85" s="30"/>
      <c r="D85" s="17"/>
      <c r="E85" s="17"/>
      <c r="F85" s="17"/>
      <c r="G85" s="17"/>
      <c r="H85" s="17"/>
    </row>
    <row r="86" spans="1:8" ht="16.149999999999999" customHeight="1" x14ac:dyDescent="0.3">
      <c r="A86" s="105" t="s">
        <v>126</v>
      </c>
      <c r="B86" s="5" t="s">
        <v>116</v>
      </c>
      <c r="C86" s="30"/>
      <c r="D86" s="17"/>
      <c r="E86" s="17"/>
      <c r="F86" s="17"/>
      <c r="G86" s="17"/>
      <c r="H86" s="17"/>
    </row>
    <row r="87" spans="1:8" ht="16.149999999999999" customHeight="1" x14ac:dyDescent="0.3">
      <c r="A87" s="105" t="s">
        <v>190</v>
      </c>
      <c r="B87" s="5" t="s">
        <v>178</v>
      </c>
      <c r="C87" s="30">
        <v>603749999.99999988</v>
      </c>
      <c r="D87" s="17"/>
      <c r="E87" s="17"/>
      <c r="F87" s="17"/>
      <c r="G87" s="17"/>
      <c r="H87" s="17"/>
    </row>
    <row r="88" spans="1:8" ht="16.149999999999999" customHeight="1" x14ac:dyDescent="0.3">
      <c r="A88" s="105" t="s">
        <v>132</v>
      </c>
      <c r="B88" s="5" t="s">
        <v>43</v>
      </c>
      <c r="C88" s="30">
        <v>-1299451999</v>
      </c>
      <c r="D88" s="17"/>
      <c r="E88" s="17"/>
      <c r="F88" s="17"/>
      <c r="G88" s="17"/>
      <c r="H88" s="17"/>
    </row>
    <row r="89" spans="1:8" ht="16.149999999999999" customHeight="1" x14ac:dyDescent="0.3">
      <c r="A89" s="105" t="s">
        <v>124</v>
      </c>
      <c r="B89" s="5" t="s">
        <v>114</v>
      </c>
      <c r="C89" s="30"/>
      <c r="D89" s="17"/>
      <c r="E89" s="17"/>
      <c r="F89" s="17"/>
      <c r="G89" s="17"/>
      <c r="H89" s="17"/>
    </row>
    <row r="90" spans="1:8" ht="16.149999999999999" customHeight="1" x14ac:dyDescent="0.3">
      <c r="A90" s="105" t="s">
        <v>191</v>
      </c>
      <c r="B90" s="5" t="s">
        <v>17</v>
      </c>
      <c r="C90" s="30"/>
      <c r="D90" s="17"/>
      <c r="E90" s="17"/>
      <c r="F90" s="17"/>
      <c r="G90" s="17"/>
      <c r="H90" s="17"/>
    </row>
    <row r="91" spans="1:8" ht="16.149999999999999" customHeight="1" x14ac:dyDescent="0.3">
      <c r="A91" s="105" t="s">
        <v>133</v>
      </c>
      <c r="B91" s="5" t="s">
        <v>179</v>
      </c>
      <c r="C91" s="30">
        <v>-7197807996</v>
      </c>
      <c r="D91" s="31" t="str">
        <f>IF($C91&gt;0,"Long term loans balances should be entered as negative values!","")</f>
        <v/>
      </c>
      <c r="E91" s="17"/>
      <c r="F91" s="17"/>
      <c r="G91" s="17"/>
      <c r="H91" s="17"/>
    </row>
    <row r="92" spans="1:8" ht="16.149999999999999" customHeight="1" x14ac:dyDescent="0.3">
      <c r="A92" s="105" t="s">
        <v>135</v>
      </c>
      <c r="B92" s="5" t="s">
        <v>180</v>
      </c>
      <c r="C92" s="30"/>
      <c r="D92" s="31" t="str">
        <f>IF($C92&gt;0,"Long term loans balances should be entered as negative values!","")</f>
        <v/>
      </c>
      <c r="E92" s="17"/>
      <c r="F92" s="17"/>
      <c r="G92" s="17"/>
      <c r="H92" s="17"/>
    </row>
    <row r="93" spans="1:8" ht="16.149999999999999" customHeight="1" x14ac:dyDescent="0.3">
      <c r="A93" s="105" t="s">
        <v>137</v>
      </c>
      <c r="B93" s="5" t="s">
        <v>181</v>
      </c>
      <c r="C93" s="30"/>
      <c r="D93" s="31" t="str">
        <f>IF($C93&gt;0,"Long term loans balances should be entered as negative values!","")</f>
        <v/>
      </c>
      <c r="E93" s="17"/>
      <c r="F93" s="17"/>
      <c r="G93" s="17"/>
      <c r="H93" s="17"/>
    </row>
    <row r="94" spans="1:8" ht="16.149999999999999" customHeight="1" x14ac:dyDescent="0.3">
      <c r="A94" s="105" t="s">
        <v>139</v>
      </c>
      <c r="B94" s="5" t="s">
        <v>182</v>
      </c>
      <c r="C94" s="30"/>
      <c r="D94" s="31" t="str">
        <f>IF($C94&gt;0,"Finance lease balances should be entered as negative values!","")</f>
        <v/>
      </c>
      <c r="E94" s="17"/>
      <c r="F94" s="17"/>
      <c r="G94" s="17"/>
      <c r="H94" s="17"/>
    </row>
    <row r="95" spans="1:8" ht="16.149999999999999" customHeight="1" x14ac:dyDescent="0.3">
      <c r="A95" s="105" t="s">
        <v>192</v>
      </c>
      <c r="B95" s="5" t="s">
        <v>183</v>
      </c>
      <c r="C95" s="30"/>
      <c r="D95" s="17"/>
      <c r="E95" s="17"/>
      <c r="F95" s="17"/>
      <c r="G95" s="17"/>
      <c r="H95" s="17"/>
    </row>
    <row r="96" spans="1:8" ht="16.149999999999999" customHeight="1" x14ac:dyDescent="0.3">
      <c r="A96" s="105" t="s">
        <v>193</v>
      </c>
      <c r="B96" s="5" t="s">
        <v>184</v>
      </c>
      <c r="C96" s="30"/>
      <c r="D96" s="17"/>
      <c r="E96" s="17"/>
      <c r="F96" s="17"/>
      <c r="G96" s="17"/>
      <c r="H96" s="17"/>
    </row>
    <row r="97" spans="1:8" ht="16.149999999999999" customHeight="1" x14ac:dyDescent="0.3">
      <c r="A97" s="105" t="s">
        <v>194</v>
      </c>
      <c r="B97" s="5" t="s">
        <v>147</v>
      </c>
      <c r="C97" s="30"/>
      <c r="D97" s="17"/>
      <c r="E97" s="17"/>
      <c r="F97" s="17"/>
      <c r="G97" s="17"/>
      <c r="H97" s="17"/>
    </row>
    <row r="98" spans="1:8" ht="16.149999999999999" customHeight="1" x14ac:dyDescent="0.3">
      <c r="A98" s="105" t="s">
        <v>97</v>
      </c>
      <c r="B98" s="5" t="s">
        <v>185</v>
      </c>
      <c r="C98" s="30"/>
      <c r="D98" s="17"/>
      <c r="E98" s="17"/>
      <c r="F98" s="17"/>
      <c r="G98" s="17"/>
      <c r="H98" s="17"/>
    </row>
    <row r="99" spans="1:8" ht="16.149999999999999" customHeight="1" x14ac:dyDescent="0.3">
      <c r="A99" s="105" t="s">
        <v>127</v>
      </c>
      <c r="B99" s="5" t="s">
        <v>186</v>
      </c>
      <c r="C99" s="30"/>
      <c r="D99" s="17"/>
      <c r="E99" s="17"/>
      <c r="F99" s="17"/>
      <c r="G99" s="17"/>
      <c r="H99" s="17"/>
    </row>
    <row r="100" spans="1:8" ht="16.149999999999999" customHeight="1" x14ac:dyDescent="0.3">
      <c r="A100" s="105" t="s">
        <v>111</v>
      </c>
      <c r="B100" s="5" t="s">
        <v>187</v>
      </c>
      <c r="C100" s="30"/>
      <c r="D100" s="17"/>
      <c r="E100" s="17"/>
      <c r="F100" s="17"/>
      <c r="G100" s="17"/>
      <c r="H100" s="17"/>
    </row>
    <row r="101" spans="1:8" ht="16.149999999999999" customHeight="1" x14ac:dyDescent="0.3">
      <c r="A101" s="105" t="s">
        <v>215</v>
      </c>
      <c r="B101" s="5" t="s">
        <v>221</v>
      </c>
      <c r="C101" s="30"/>
      <c r="D101" s="17"/>
      <c r="E101" s="17"/>
      <c r="F101" s="17"/>
      <c r="G101" s="17"/>
      <c r="H101" s="17"/>
    </row>
    <row r="102" spans="1:8" ht="16.149999999999999" customHeight="1" x14ac:dyDescent="0.3">
      <c r="A102" s="105" t="s">
        <v>128</v>
      </c>
      <c r="B102" s="5" t="s">
        <v>118</v>
      </c>
      <c r="C102" s="30"/>
      <c r="D102" s="17"/>
      <c r="E102" s="17"/>
      <c r="F102" s="17"/>
      <c r="G102" s="17"/>
      <c r="H102" s="17"/>
    </row>
    <row r="103" spans="1:8" ht="16.149999999999999" customHeight="1" x14ac:dyDescent="0.25">
      <c r="A103" s="107"/>
      <c r="B103" s="2" t="s">
        <v>216</v>
      </c>
      <c r="C103" s="5"/>
      <c r="D103" s="5"/>
      <c r="E103" s="5"/>
      <c r="F103" s="5"/>
      <c r="G103" s="5"/>
      <c r="H103" s="17"/>
    </row>
    <row r="104" spans="1:8" ht="16.149999999999999" customHeight="1" x14ac:dyDescent="0.3">
      <c r="A104" s="105"/>
      <c r="B104" s="5" t="s">
        <v>218</v>
      </c>
      <c r="C104" s="24">
        <v>0.21</v>
      </c>
      <c r="H104" s="17"/>
    </row>
    <row r="105" spans="1:8" ht="16.149999999999999" customHeight="1" x14ac:dyDescent="0.3">
      <c r="A105" s="105"/>
      <c r="B105" s="5" t="s">
        <v>143</v>
      </c>
      <c r="C105" s="23">
        <v>12</v>
      </c>
      <c r="H105" s="17"/>
    </row>
    <row r="106" spans="1:8" ht="16.149999999999999" customHeight="1" x14ac:dyDescent="0.3">
      <c r="A106" s="105"/>
      <c r="B106" s="5" t="s">
        <v>144</v>
      </c>
      <c r="C106" s="23">
        <v>1</v>
      </c>
      <c r="D106" s="25">
        <f>IF(C105=0,1,C106-((ROUNDUP(C106/C105,0))-1)*C105)</f>
        <v>1</v>
      </c>
      <c r="H106" s="17"/>
    </row>
    <row r="107" spans="1:8" ht="16.149999999999999" customHeight="1" x14ac:dyDescent="0.3">
      <c r="A107" s="105"/>
      <c r="B107" s="5" t="s">
        <v>145</v>
      </c>
      <c r="C107" s="23" t="s">
        <v>219</v>
      </c>
      <c r="D107" s="25">
        <f>IF(C107="Next",1,IF(C107="Subsequent",IF(C105=0,1,IF(D106-((MONTH($C$5)-1)-((ROUNDUP((MONTH($C$5)-1)/C105,0))-1)*C105)&lt;0,D106+C105-((MONTH($C$5)-1)-((ROUNDUP((MONTH($C$5)-1)/C105,0))-1)*C105),D106-((MONTH($C$5)-1)-((ROUNDUP((MONTH($C$5)-1)/C105,0))-1)*C105))),0))</f>
        <v>1</v>
      </c>
    </row>
    <row r="108" spans="1:8" ht="16.149999999999999" customHeight="1" x14ac:dyDescent="0.3">
      <c r="A108" s="105"/>
      <c r="C108" s="5"/>
      <c r="D108" s="5"/>
      <c r="E108" s="5"/>
      <c r="F108" s="5"/>
      <c r="G108" s="5"/>
    </row>
  </sheetData>
  <mergeCells count="1">
    <mergeCell ref="C4:E4"/>
  </mergeCells>
  <phoneticPr fontId="3" type="noConversion"/>
  <conditionalFormatting sqref="C39">
    <cfRule type="expression" dxfId="17" priority="1" stopIfTrue="1">
      <formula>ROUND(SUM($C$79:$C$102),0)&lt;&gt;0</formula>
    </cfRule>
  </conditionalFormatting>
  <conditionalFormatting sqref="C79:C102">
    <cfRule type="expression" dxfId="16" priority="3" stopIfTrue="1">
      <formula>ROUND(SUM($C$79:$C$102),0)&lt;&gt;0</formula>
    </cfRule>
  </conditionalFormatting>
  <conditionalFormatting sqref="C91:C94">
    <cfRule type="cellIs" dxfId="15" priority="2" stopIfTrue="1" operator="greaterThan">
      <formula>0</formula>
    </cfRule>
  </conditionalFormatting>
  <dataValidations count="13">
    <dataValidation type="list" allowBlank="1" showInputMessage="1" showErrorMessage="1" errorTitle="Invalid Data" error="Select a valid item from the list box." sqref="C77:F77" xr:uid="{00000000-0002-0000-0400-000000000000}">
      <formula1>"Yes,No"</formula1>
    </dataValidation>
    <dataValidation operator="lessThan" allowBlank="1" showInputMessage="1" showErrorMessage="1" errorTitle="Invalid Input" error="The estimated Creditors balances should be entered as a negative value." sqref="C52 E53:F74 G74:G79 E77:F77 H53:H79 E104:F107" xr:uid="{00000000-0002-0000-0400-000001000000}"/>
    <dataValidation type="decimal" allowBlank="1" showInputMessage="1" showErrorMessage="1" errorTitle="Invalid Data" error="Enter a percentage between -100% and 100%." sqref="D18:G18 D11:G11" xr:uid="{00000000-0002-0000-0400-000002000000}">
      <formula1>-1</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3000000}">
      <formula1>36526</formula1>
    </dataValidation>
    <dataValidation type="decimal" allowBlank="1" showInputMessage="1" showErrorMessage="1" errorTitle="Invalid Data" error="Enter a percentage that is between 0% and 100%." sqref="C60:C63" xr:uid="{00000000-0002-0000-0400-000004000000}">
      <formula1>0</formula1>
      <formula2>1</formula2>
    </dataValidation>
    <dataValidation type="whole" allowBlank="1" showInputMessage="1" showErrorMessage="1" errorTitle="Invalid Data" error="Enter a valid integer value between 1 and 12." sqref="C64:C65 C70:C71 C55:C56 C105:C106" xr:uid="{00000000-0002-0000-0400-000005000000}">
      <formula1>1</formula1>
      <formula2>12</formula2>
    </dataValidation>
    <dataValidation type="list" allowBlank="1" showInputMessage="1" showErrorMessage="1" errorTitle="Invalid Data" error="Select a valid item from the list box." sqref="C57 C66 C72" xr:uid="{00000000-0002-0000-0400-000006000000}">
      <formula1>"Current,Subsequent"</formula1>
    </dataValidation>
    <dataValidation type="decimal" operator="greaterThanOrEqual" allowBlank="1" showInputMessage="1" showErrorMessage="1" errorTitle="Invalid Data" error="The assessed loss needs to be entered as a positive value." sqref="C69" xr:uid="{00000000-0002-0000-0400-000007000000}">
      <formula1>0</formula1>
    </dataValidation>
    <dataValidation type="decimal" allowBlank="1" showInputMessage="1" showErrorMessage="1" errorTitle="Invalid Data" error="Enter an income tax percentage that is between 0% and 100%." sqref="C68 C54 C104" xr:uid="{00000000-0002-0000-0400-000008000000}">
      <formula1>0</formula1>
      <formula2>1</formula2>
    </dataValidation>
    <dataValidation type="decimal" allowBlank="1" showInputMessage="1" showErrorMessage="1" errorTitle="Invalid Input" error="Enter an interest rate percentage that is between 0% and 100%." sqref="E75:F75" xr:uid="{00000000-0002-0000-0400-000009000000}">
      <formula1>0</formula1>
      <formula2>1</formula2>
    </dataValidation>
    <dataValidation type="decimal" allowBlank="1" showInputMessage="1" showErrorMessage="1" errorTitle="Invalid Repayment Term" error="The repayment term must be between 0 and 30 years." sqref="C76:F76" xr:uid="{00000000-0002-0000-0400-00000A000000}">
      <formula1>0</formula1>
      <formula2>30</formula2>
    </dataValidation>
    <dataValidation type="decimal" allowBlank="1" showInputMessage="1" showErrorMessage="1" errorTitle="Invalid Data" error="Enter an interest rate percentage that is between 0% and 100%." sqref="C75:F75" xr:uid="{00000000-0002-0000-0400-00000B000000}">
      <formula1>0</formula1>
      <formula2>1</formula2>
    </dataValidation>
    <dataValidation type="list" allowBlank="1" showInputMessage="1" showErrorMessage="1" errorTitle="Invalid Data" error="Select a valid item from the list box." sqref="C107" xr:uid="{00000000-0002-0000-0400-00000C000000}">
      <formula1>"Cash,Next,Subsequent"</formula1>
    </dataValidation>
  </dataValidations>
  <printOptions horizontalCentered="1"/>
  <pageMargins left="0.59055118110236227" right="0.59055118110236227" top="0.59055118110236227" bottom="0.59055118110236227" header="0.39370078740157483" footer="0.39370078740157483"/>
  <pageSetup paperSize="9" scale="75" fitToHeight="2" orientation="portrait"/>
  <headerFooter alignWithMargins="0">
    <oddFooter>&amp;C&amp;9Page &amp;P of &amp;N</oddFooter>
  </headerFooter>
  <rowBreaks count="1" manualBreakCount="1">
    <brk id="66" max="16383" man="1"/>
  </rowBreaks>
  <ignoredErrors>
    <ignoredError sqref="D8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68"/>
  <sheetViews>
    <sheetView zoomScale="95" workbookViewId="0">
      <pane ySplit="4" topLeftCell="A23" activePane="bottomLeft" state="frozen"/>
      <selection pane="bottomLeft" activeCell="C32" sqref="C32"/>
    </sheetView>
  </sheetViews>
  <sheetFormatPr defaultColWidth="9.140625" defaultRowHeight="16.149999999999999" customHeight="1" x14ac:dyDescent="0.3"/>
  <cols>
    <col min="1" max="1" width="5.7109375" style="104" customWidth="1"/>
    <col min="2" max="2" width="39.7109375" style="5" customWidth="1"/>
    <col min="3" max="7" width="15.7109375" style="14" customWidth="1"/>
    <col min="8" max="19" width="15.7109375" style="5" customWidth="1"/>
    <col min="20" max="16384" width="9.140625" style="5"/>
  </cols>
  <sheetData>
    <row r="1" spans="1:7" ht="16.149999999999999" customHeight="1" x14ac:dyDescent="0.3">
      <c r="B1" s="103" t="str">
        <f>IF(ISBLANK(Assumptions!$C$4),"Example Limited",Assumptions!$C$4)</f>
        <v>Maisha Transport Company Limited</v>
      </c>
    </row>
    <row r="2" spans="1:7" ht="16.149999999999999" customHeight="1" x14ac:dyDescent="0.3">
      <c r="B2" s="6" t="s">
        <v>65</v>
      </c>
      <c r="G2" s="32"/>
    </row>
    <row r="3" spans="1:7" ht="16.149999999999999" customHeight="1" x14ac:dyDescent="0.3">
      <c r="B3" s="7" t="s">
        <v>37</v>
      </c>
    </row>
    <row r="4" spans="1:7" s="36" customFormat="1" ht="18" customHeight="1" x14ac:dyDescent="0.25">
      <c r="A4" s="108"/>
      <c r="B4" s="33"/>
      <c r="C4" s="34">
        <f>DATE(YEAR(Assumptions!$C$5)+COLUMN(C$1)-COLUMN($B$1),MONTH(Assumptions!$C$5),0)</f>
        <v>46203</v>
      </c>
      <c r="D4" s="35">
        <f>DATE(YEAR(Assumptions!$C$5)+COLUMN(D$1)-COLUMN($B$1),MONTH(Assumptions!$C$5),0)</f>
        <v>46568</v>
      </c>
      <c r="E4" s="35">
        <f>DATE(YEAR(Assumptions!$C$5)+COLUMN(E$1)-COLUMN($B$1),MONTH(Assumptions!$C$5),0)</f>
        <v>46934</v>
      </c>
      <c r="F4" s="35">
        <f>DATE(YEAR(Assumptions!$C$5)+COLUMN(F$1)-COLUMN($B$1),MONTH(Assumptions!$C$5),0)</f>
        <v>47299</v>
      </c>
      <c r="G4" s="35">
        <f>DATE(YEAR(Assumptions!$C$5)+COLUMN(G$1)-COLUMN($B$1),MONTH(Assumptions!$C$5),0)</f>
        <v>47664</v>
      </c>
    </row>
    <row r="5" spans="1:7" ht="16.149999999999999" customHeight="1" x14ac:dyDescent="0.3">
      <c r="A5" s="109" t="s">
        <v>81</v>
      </c>
      <c r="B5" s="37" t="s">
        <v>82</v>
      </c>
      <c r="C5" s="38">
        <v>39993930631.199997</v>
      </c>
      <c r="D5" s="39">
        <f>C5*(1+Assumptions!D$11)</f>
        <v>43193445081.695999</v>
      </c>
      <c r="E5" s="39">
        <f>D5*(1+Assumptions!E$11)</f>
        <v>46648920688.231682</v>
      </c>
      <c r="F5" s="39">
        <f>E5*(1+Assumptions!F$11)</f>
        <v>50380834343.290222</v>
      </c>
      <c r="G5" s="39">
        <f>F5*(1+Assumptions!G$11)</f>
        <v>54411301090.753441</v>
      </c>
    </row>
    <row r="6" spans="1:7" ht="16.149999999999999" customHeight="1" x14ac:dyDescent="0.3">
      <c r="A6" s="109" t="s">
        <v>81</v>
      </c>
      <c r="B6" s="37" t="s">
        <v>83</v>
      </c>
      <c r="C6" s="40"/>
      <c r="D6" s="41">
        <f>C6*(1+Assumptions!D$11)</f>
        <v>0</v>
      </c>
      <c r="E6" s="41">
        <f>D6*(1+Assumptions!E$11)</f>
        <v>0</v>
      </c>
      <c r="F6" s="41">
        <f>E6*(1+Assumptions!F$11)</f>
        <v>0</v>
      </c>
      <c r="G6" s="41">
        <f>F6*(1+Assumptions!G$11)</f>
        <v>0</v>
      </c>
    </row>
    <row r="7" spans="1:7" s="2" customFormat="1" ht="16.149999999999999" customHeight="1" thickBot="1" x14ac:dyDescent="0.35">
      <c r="A7" s="104"/>
      <c r="B7" s="42" t="s">
        <v>84</v>
      </c>
      <c r="C7" s="43">
        <f ca="1">SUM(OFFSET(C4,1,0,ROW($B7)-ROW($B4)-1,1))</f>
        <v>39993930631.199997</v>
      </c>
      <c r="D7" s="43">
        <f ca="1">SUM(OFFSET(D4,1,0,ROW($B7)-ROW($B4)-1,1))</f>
        <v>43193445081.695999</v>
      </c>
      <c r="E7" s="43">
        <f ca="1">SUM(OFFSET(E4,1,0,ROW($B7)-ROW($B4)-1,1))</f>
        <v>46648920688.231682</v>
      </c>
      <c r="F7" s="43">
        <f ca="1">SUM(OFFSET(F4,1,0,ROW($B7)-ROW($B4)-1,1))</f>
        <v>50380834343.290222</v>
      </c>
      <c r="G7" s="43">
        <f ca="1">SUM(OFFSET(G4,1,0,ROW($B7)-ROW($B4)-1,1))</f>
        <v>54411301090.753441</v>
      </c>
    </row>
    <row r="8" spans="1:7" s="14" customFormat="1" ht="16.149999999999999" customHeight="1" x14ac:dyDescent="0.3">
      <c r="A8" s="110" t="s">
        <v>81</v>
      </c>
      <c r="B8" s="14" t="s">
        <v>400</v>
      </c>
      <c r="C8" s="41">
        <f t="shared" ref="C8:G9" si="0">SUM(C5,-C11)</f>
        <v>23996358378.719997</v>
      </c>
      <c r="D8" s="41">
        <f t="shared" si="0"/>
        <v>25052198147.383678</v>
      </c>
      <c r="E8" s="41">
        <f t="shared" si="0"/>
        <v>27056373999.174377</v>
      </c>
      <c r="F8" s="41">
        <f t="shared" si="0"/>
        <v>28717075575.675426</v>
      </c>
      <c r="G8" s="41">
        <f t="shared" si="0"/>
        <v>31014441621.729462</v>
      </c>
    </row>
    <row r="9" spans="1:7" s="14" customFormat="1" ht="16.149999999999999" customHeight="1" x14ac:dyDescent="0.3">
      <c r="A9" s="110" t="s">
        <v>86</v>
      </c>
      <c r="B9" s="14" t="s">
        <v>401</v>
      </c>
      <c r="C9" s="41">
        <f t="shared" si="0"/>
        <v>0</v>
      </c>
      <c r="D9" s="41">
        <f t="shared" si="0"/>
        <v>0</v>
      </c>
      <c r="E9" s="41">
        <f t="shared" si="0"/>
        <v>0</v>
      </c>
      <c r="F9" s="41">
        <f t="shared" si="0"/>
        <v>0</v>
      </c>
      <c r="G9" s="41">
        <f t="shared" si="0"/>
        <v>0</v>
      </c>
    </row>
    <row r="10" spans="1:7" ht="16.149999999999999" customHeight="1" thickBot="1" x14ac:dyDescent="0.35">
      <c r="A10" s="111"/>
      <c r="B10" s="3" t="s">
        <v>88</v>
      </c>
      <c r="C10" s="44">
        <f ca="1">SUM(OFFSET(C7,1,0,ROW($B10)-ROW($B7)-1,1))</f>
        <v>23996358378.719997</v>
      </c>
      <c r="D10" s="44">
        <f ca="1">SUM(OFFSET(D7,1,0,ROW($B10)-ROW($B7)-1,1))</f>
        <v>25052198147.383678</v>
      </c>
      <c r="E10" s="44">
        <f ca="1">SUM(OFFSET(E7,1,0,ROW($B10)-ROW($B7)-1,1))</f>
        <v>27056373999.174377</v>
      </c>
      <c r="F10" s="44">
        <f ca="1">SUM(OFFSET(F7,1,0,ROW($B10)-ROW($B7)-1,1))</f>
        <v>28717075575.675426</v>
      </c>
      <c r="G10" s="44">
        <f ca="1">SUM(OFFSET(G7,1,0,ROW($B10)-ROW($B7)-1,1))</f>
        <v>31014441621.729462</v>
      </c>
    </row>
    <row r="11" spans="1:7" s="14" customFormat="1" ht="16.149999999999999" customHeight="1" x14ac:dyDescent="0.3">
      <c r="A11" s="110"/>
      <c r="B11" s="14" t="s">
        <v>85</v>
      </c>
      <c r="C11" s="41">
        <f>C5*C14</f>
        <v>15997572252.48</v>
      </c>
      <c r="D11" s="41">
        <f>D5*D14</f>
        <v>18141246934.312321</v>
      </c>
      <c r="E11" s="41">
        <f>E5*E14</f>
        <v>19592546689.057304</v>
      </c>
      <c r="F11" s="41">
        <f>F5*F14</f>
        <v>21663758767.614796</v>
      </c>
      <c r="G11" s="41">
        <f>G5*G14</f>
        <v>23396859469.023979</v>
      </c>
    </row>
    <row r="12" spans="1:7" s="14" customFormat="1" ht="16.149999999999999" customHeight="1" x14ac:dyDescent="0.3">
      <c r="A12" s="110"/>
      <c r="B12" s="14" t="s">
        <v>87</v>
      </c>
      <c r="C12" s="41">
        <f t="shared" ref="C12:G12" si="1">C6*C15</f>
        <v>0</v>
      </c>
      <c r="D12" s="41">
        <f t="shared" si="1"/>
        <v>0</v>
      </c>
      <c r="E12" s="41">
        <f t="shared" si="1"/>
        <v>0</v>
      </c>
      <c r="F12" s="41">
        <f t="shared" si="1"/>
        <v>0</v>
      </c>
      <c r="G12" s="41">
        <f t="shared" si="1"/>
        <v>0</v>
      </c>
    </row>
    <row r="13" spans="1:7" ht="16.149999999999999" customHeight="1" thickBot="1" x14ac:dyDescent="0.35">
      <c r="A13" s="111"/>
      <c r="B13" s="3" t="s">
        <v>89</v>
      </c>
      <c r="C13" s="44">
        <f ca="1">SUM(OFFSET(C10,1,0,ROW($B13)-ROW($B10)-1,1))</f>
        <v>15997572252.48</v>
      </c>
      <c r="D13" s="44">
        <f ca="1">SUM(OFFSET(D10,1,0,ROW($B13)-ROW($B10)-1,1))</f>
        <v>18141246934.312321</v>
      </c>
      <c r="E13" s="44">
        <f ca="1">SUM(OFFSET(E10,1,0,ROW($B13)-ROW($B10)-1,1))</f>
        <v>19592546689.057304</v>
      </c>
      <c r="F13" s="44">
        <f ca="1">SUM(OFFSET(F10,1,0,ROW($B13)-ROW($B10)-1,1))</f>
        <v>21663758767.614796</v>
      </c>
      <c r="G13" s="44">
        <f ca="1">SUM(OFFSET(G10,1,0,ROW($B13)-ROW($B10)-1,1))</f>
        <v>23396859469.023979</v>
      </c>
    </row>
    <row r="14" spans="1:7" s="47" customFormat="1" ht="16.149999999999999" customHeight="1" x14ac:dyDescent="0.25">
      <c r="A14" s="112"/>
      <c r="B14" s="45" t="s">
        <v>85</v>
      </c>
      <c r="C14" s="46">
        <v>0.4</v>
      </c>
      <c r="D14" s="46">
        <v>0.42</v>
      </c>
      <c r="E14" s="46">
        <v>0.42</v>
      </c>
      <c r="F14" s="46">
        <v>0.43</v>
      </c>
      <c r="G14" s="46">
        <v>0.43</v>
      </c>
    </row>
    <row r="15" spans="1:7" s="47" customFormat="1" ht="16.149999999999999" customHeight="1" x14ac:dyDescent="0.25">
      <c r="A15" s="112"/>
      <c r="B15" s="45" t="s">
        <v>87</v>
      </c>
      <c r="C15" s="137">
        <v>1</v>
      </c>
      <c r="D15" s="137">
        <v>1</v>
      </c>
      <c r="E15" s="137">
        <v>1</v>
      </c>
      <c r="F15" s="137">
        <v>1</v>
      </c>
      <c r="G15" s="137">
        <v>1</v>
      </c>
    </row>
    <row r="16" spans="1:7" s="48" customFormat="1" ht="16.149999999999999" customHeight="1" thickBot="1" x14ac:dyDescent="0.3">
      <c r="A16" s="113"/>
      <c r="B16" s="48" t="s">
        <v>5</v>
      </c>
      <c r="C16" s="49">
        <f ca="1">IF(C7=0,0,C13/C7)</f>
        <v>0.4</v>
      </c>
      <c r="D16" s="49">
        <f ca="1">IF(D7=0,0,D13/D7)</f>
        <v>0.42000000000000004</v>
      </c>
      <c r="E16" s="49">
        <f ca="1">IF(E7=0,0,E13/E7)</f>
        <v>0.42</v>
      </c>
      <c r="F16" s="49">
        <f ca="1">IF(F7=0,0,F13/F7)</f>
        <v>0.43</v>
      </c>
      <c r="G16" s="49">
        <f ca="1">IF(G7=0,0,G13/G7)</f>
        <v>0.43</v>
      </c>
    </row>
    <row r="17" spans="1:7" ht="16.149999999999999" customHeight="1" x14ac:dyDescent="0.3">
      <c r="A17" s="109"/>
      <c r="B17" s="5" t="s">
        <v>214</v>
      </c>
      <c r="C17" s="41"/>
      <c r="D17" s="41">
        <f>C17*(1+Assumptions!D$11)</f>
        <v>0</v>
      </c>
      <c r="E17" s="41">
        <f>D17*(1+Assumptions!E$11)</f>
        <v>0</v>
      </c>
      <c r="F17" s="41">
        <f>E17*(1+Assumptions!F$11)</f>
        <v>0</v>
      </c>
      <c r="G17" s="41">
        <f>F17*(1+Assumptions!G$11)</f>
        <v>0</v>
      </c>
    </row>
    <row r="18" spans="1:7" ht="16.149999999999999" customHeight="1" x14ac:dyDescent="0.3">
      <c r="B18" s="2" t="s">
        <v>72</v>
      </c>
      <c r="C18" s="41"/>
      <c r="D18" s="41"/>
      <c r="E18" s="41"/>
      <c r="F18" s="41"/>
      <c r="G18" s="41"/>
    </row>
    <row r="19" spans="1:7" ht="16.149999999999999" customHeight="1" x14ac:dyDescent="0.3">
      <c r="B19" s="2"/>
      <c r="C19" s="41"/>
      <c r="D19" s="41"/>
      <c r="E19" s="41"/>
      <c r="F19" s="41"/>
      <c r="G19" s="41"/>
    </row>
    <row r="20" spans="1:7" ht="16.149999999999999" customHeight="1" x14ac:dyDescent="0.3">
      <c r="A20" s="109" t="s">
        <v>81</v>
      </c>
      <c r="B20" s="5" t="s">
        <v>396</v>
      </c>
      <c r="C20" s="41">
        <v>675822431.24800003</v>
      </c>
      <c r="D20" s="41">
        <f>C20*(1+Assumptions!D$18)</f>
        <v>716371777.1228801</v>
      </c>
      <c r="E20" s="41">
        <f>D20*(1+Assumptions!E$18)</f>
        <v>759354083.75025296</v>
      </c>
      <c r="F20" s="41">
        <f>E20*(1+Assumptions!F$18)</f>
        <v>804915328.7752682</v>
      </c>
      <c r="G20" s="41">
        <f>F20*(1+Assumptions!G$18)</f>
        <v>853210248.50178432</v>
      </c>
    </row>
    <row r="21" spans="1:7" ht="16.149999999999999" customHeight="1" x14ac:dyDescent="0.3">
      <c r="A21" s="109" t="s">
        <v>81</v>
      </c>
      <c r="B21" s="5" t="s">
        <v>397</v>
      </c>
      <c r="C21" s="41">
        <v>105600000</v>
      </c>
      <c r="D21" s="41">
        <f>C21*(1+Assumptions!D$18)</f>
        <v>111936000</v>
      </c>
      <c r="E21" s="41">
        <f>D21*(1+Assumptions!E$18)</f>
        <v>118652160</v>
      </c>
      <c r="F21" s="41">
        <f>E21*(1+Assumptions!F$18)</f>
        <v>125771289.60000001</v>
      </c>
      <c r="G21" s="41">
        <f>F21*(1+Assumptions!G$18)</f>
        <v>133317566.97600001</v>
      </c>
    </row>
    <row r="22" spans="1:7" s="2" customFormat="1" ht="16.149999999999999" customHeight="1" x14ac:dyDescent="0.25">
      <c r="A22" s="114"/>
      <c r="B22" s="2" t="s">
        <v>96</v>
      </c>
      <c r="C22" s="50">
        <f ca="1">SUM(OFFSET(B18,1,1,ROW($B$22)-ROW($B$18)-1,1))</f>
        <v>781422431.24800003</v>
      </c>
      <c r="D22" s="50">
        <f ca="1">SUM(OFFSET(C18,1,1,ROW($B$22)-ROW($B$18)-1,1))</f>
        <v>828307777.1228801</v>
      </c>
      <c r="E22" s="50">
        <f ca="1">SUM(OFFSET(D18,1,1,ROW($B$22)-ROW($B$18)-1,1))</f>
        <v>878006243.75025296</v>
      </c>
      <c r="F22" s="50">
        <f ca="1">SUM(OFFSET(E18,1,1,ROW($B$22)-ROW($B$18)-1,1))</f>
        <v>930686618.37526822</v>
      </c>
      <c r="G22" s="50">
        <f ca="1">SUM(OFFSET(F18,1,1,ROW($B$22)-ROW($B$18)-1,1))</f>
        <v>986527815.4777844</v>
      </c>
    </row>
    <row r="23" spans="1:7" s="2" customFormat="1" ht="16.149999999999999" customHeight="1" x14ac:dyDescent="0.3">
      <c r="A23" s="105"/>
      <c r="B23" s="2" t="s">
        <v>398</v>
      </c>
      <c r="C23" s="51"/>
      <c r="D23" s="51"/>
      <c r="E23" s="51"/>
      <c r="F23" s="51"/>
      <c r="G23" s="51"/>
    </row>
    <row r="24" spans="1:7" ht="16.149999999999999" customHeight="1" x14ac:dyDescent="0.3">
      <c r="A24" s="115" t="s">
        <v>362</v>
      </c>
      <c r="B24" s="5" t="s">
        <v>399</v>
      </c>
      <c r="C24" s="41">
        <v>942808594.5</v>
      </c>
      <c r="D24" s="41">
        <f>C24*(1+Assumptions!D$18)</f>
        <v>999377110.17000008</v>
      </c>
      <c r="E24" s="41">
        <f>D24*(1+Assumptions!E$18)</f>
        <v>1059339736.7802001</v>
      </c>
      <c r="F24" s="41">
        <f>E24*(1+Assumptions!F$18)</f>
        <v>1122900120.9870121</v>
      </c>
      <c r="G24" s="41">
        <f>F24*(1+Assumptions!G$18)</f>
        <v>1190274128.246233</v>
      </c>
    </row>
    <row r="25" spans="1:7" s="2" customFormat="1" ht="16.149999999999999" customHeight="1" thickBot="1" x14ac:dyDescent="0.35">
      <c r="A25" s="105" t="s">
        <v>97</v>
      </c>
      <c r="B25" s="2" t="s">
        <v>98</v>
      </c>
      <c r="C25" s="44">
        <f ca="1">SUM(OFFSET(C23,1,0,ROW($B25)-ROW($B23)-1,1))</f>
        <v>942808594.5</v>
      </c>
      <c r="D25" s="44">
        <f ca="1">SUM(OFFSET(D23,1,0,ROW($B25)-ROW($B23)-1,1))</f>
        <v>999377110.17000008</v>
      </c>
      <c r="E25" s="44">
        <f ca="1">SUM(OFFSET(E23,1,0,ROW($B25)-ROW($B23)-1,1))</f>
        <v>1059339736.7802001</v>
      </c>
      <c r="F25" s="44">
        <f ca="1">SUM(OFFSET(F23,1,0,ROW($B25)-ROW($B23)-1,1))</f>
        <v>1122900120.9870121</v>
      </c>
      <c r="G25" s="44">
        <f ca="1">SUM(OFFSET(G23,1,0,ROW($B25)-ROW($B23)-1,1))</f>
        <v>1190274128.246233</v>
      </c>
    </row>
    <row r="26" spans="1:7" ht="16.149999999999999" customHeight="1" x14ac:dyDescent="0.3">
      <c r="A26" s="105"/>
      <c r="B26" s="2" t="s">
        <v>75</v>
      </c>
      <c r="C26" s="41"/>
      <c r="D26" s="41"/>
      <c r="E26" s="41"/>
      <c r="F26" s="41"/>
      <c r="G26" s="41"/>
    </row>
    <row r="27" spans="1:7" ht="16.149999999999999" customHeight="1" x14ac:dyDescent="0.3">
      <c r="A27" s="115" t="s">
        <v>99</v>
      </c>
      <c r="B27" s="5" t="s">
        <v>46</v>
      </c>
      <c r="C27" s="41"/>
      <c r="D27" s="41">
        <f>Assumptions!D25</f>
        <v>280845625</v>
      </c>
      <c r="E27" s="41">
        <f>Assumptions!E25</f>
        <v>280845625</v>
      </c>
      <c r="F27" s="41">
        <f>Assumptions!F25</f>
        <v>280845625</v>
      </c>
      <c r="G27" s="41">
        <f>Assumptions!G25</f>
        <v>280845625</v>
      </c>
    </row>
    <row r="28" spans="1:7" ht="16.149999999999999" customHeight="1" x14ac:dyDescent="0.3">
      <c r="A28" s="115" t="s">
        <v>100</v>
      </c>
      <c r="B28" s="5" t="s">
        <v>101</v>
      </c>
      <c r="C28" s="41"/>
      <c r="D28" s="41">
        <f>Assumptions!D26</f>
        <v>0</v>
      </c>
      <c r="E28" s="41">
        <f>Assumptions!E26</f>
        <v>0</v>
      </c>
      <c r="F28" s="41">
        <f>Assumptions!F26</f>
        <v>0</v>
      </c>
      <c r="G28" s="41">
        <f>Assumptions!G26</f>
        <v>0</v>
      </c>
    </row>
    <row r="29" spans="1:7" s="2" customFormat="1" ht="16.149999999999999" customHeight="1" thickBot="1" x14ac:dyDescent="0.3">
      <c r="A29" s="116"/>
      <c r="B29" s="2" t="s">
        <v>102</v>
      </c>
      <c r="C29" s="44">
        <f>SUM(C27:C28)</f>
        <v>0</v>
      </c>
      <c r="D29" s="44">
        <f t="shared" ref="D29:G29" si="2">SUM(D27:D28)</f>
        <v>280845625</v>
      </c>
      <c r="E29" s="44">
        <f t="shared" si="2"/>
        <v>280845625</v>
      </c>
      <c r="F29" s="44">
        <f t="shared" si="2"/>
        <v>280845625</v>
      </c>
      <c r="G29" s="44">
        <f t="shared" si="2"/>
        <v>280845625</v>
      </c>
    </row>
    <row r="30" spans="1:7" s="2" customFormat="1" ht="16.149999999999999" customHeight="1" x14ac:dyDescent="0.25">
      <c r="A30" s="114"/>
      <c r="B30" s="2" t="s">
        <v>48</v>
      </c>
      <c r="C30" s="51">
        <f ca="1">SUM(C13,C17,-C22,-C25,-C29)</f>
        <v>14273341226.732</v>
      </c>
      <c r="D30" s="51">
        <f ca="1">SUM(D13,D17,-D22,-D25,-D29)</f>
        <v>16032716422.019442</v>
      </c>
      <c r="E30" s="51">
        <f ca="1">SUM(E13,E17,-E22,-E25,-E29)</f>
        <v>17374355083.526852</v>
      </c>
      <c r="F30" s="51">
        <f ca="1">SUM(F13,F17,-F22,-F25,-F29)</f>
        <v>19329326403.252518</v>
      </c>
      <c r="G30" s="51">
        <f ca="1">SUM(G13,G17,-G22,-G25,-G29)</f>
        <v>20939211900.299965</v>
      </c>
    </row>
    <row r="31" spans="1:7" ht="16.149999999999999" customHeight="1" x14ac:dyDescent="0.25">
      <c r="A31" s="114"/>
      <c r="B31" s="2" t="s">
        <v>106</v>
      </c>
      <c r="C31" s="41"/>
      <c r="D31" s="41"/>
      <c r="E31" s="41"/>
      <c r="F31" s="41"/>
      <c r="G31" s="41"/>
    </row>
    <row r="32" spans="1:7" ht="16.149999999999999" customHeight="1" x14ac:dyDescent="0.3">
      <c r="A32" s="111" t="s">
        <v>107</v>
      </c>
      <c r="B32" s="4" t="s">
        <v>108</v>
      </c>
      <c r="C32" s="41">
        <f ca="1">OFFSET(Loans1!$E$8,1+COLUMN(C$4)-COLUMN($B$4),0,1,1)</f>
        <v>863736959.51999998</v>
      </c>
      <c r="D32" s="41">
        <f ca="1">OFFSET(Loans1!$E$8,1+COLUMN(D$4)-COLUMN($B$4),0,1,1)</f>
        <v>863621357.47936082</v>
      </c>
      <c r="E32" s="41">
        <f ca="1">OFFSET(Loans1!$E$8,1+COLUMN(E$4)-COLUMN($B$4),0,1,1)</f>
        <v>863491883.19384491</v>
      </c>
      <c r="F32" s="41">
        <f ca="1">OFFSET(Loans1!$E$8,1+COLUMN(F$4)-COLUMN($B$4),0,1,1)</f>
        <v>863346871.99406719</v>
      </c>
      <c r="G32" s="41">
        <f ca="1">OFFSET(Loans1!$E$8,1+COLUMN(G$4)-COLUMN($B$4),0,1,1)</f>
        <v>863184459.45031607</v>
      </c>
    </row>
    <row r="33" spans="1:9" s="2" customFormat="1" ht="16.149999999999999" customHeight="1" thickBot="1" x14ac:dyDescent="0.3">
      <c r="A33" s="117"/>
      <c r="B33" s="3" t="s">
        <v>109</v>
      </c>
      <c r="C33" s="44">
        <f ca="1">SUM(C32:C32)</f>
        <v>863736959.51999998</v>
      </c>
      <c r="D33" s="44">
        <f ca="1">SUM(D32:D32)</f>
        <v>863621357.47936082</v>
      </c>
      <c r="E33" s="44">
        <f ca="1">SUM(E32:E32)</f>
        <v>863491883.19384491</v>
      </c>
      <c r="F33" s="44">
        <f ca="1">SUM(F32:F32)</f>
        <v>863346871.99406719</v>
      </c>
      <c r="G33" s="44">
        <f ca="1">SUM(G32:G32)</f>
        <v>863184459.45031607</v>
      </c>
    </row>
    <row r="34" spans="1:9" s="2" customFormat="1" ht="16.149999999999999" customHeight="1" x14ac:dyDescent="0.25">
      <c r="A34" s="117"/>
      <c r="B34" s="3" t="s">
        <v>110</v>
      </c>
      <c r="C34" s="51">
        <f ca="1">SUM(C30,-C33)</f>
        <v>13409604267.212</v>
      </c>
      <c r="D34" s="51">
        <f ca="1">SUM(D30,-D33)</f>
        <v>15169095064.540081</v>
      </c>
      <c r="E34" s="51">
        <f ca="1">SUM(E30,-E33)</f>
        <v>16510863200.333006</v>
      </c>
      <c r="F34" s="51">
        <f ca="1">SUM(F30,-F33)</f>
        <v>18465979531.25845</v>
      </c>
      <c r="G34" s="51">
        <f ca="1">SUM(G30,-G33)</f>
        <v>20076027440.849648</v>
      </c>
    </row>
    <row r="35" spans="1:9" ht="16.149999999999999" customHeight="1" x14ac:dyDescent="0.3">
      <c r="A35" s="111" t="s">
        <v>111</v>
      </c>
      <c r="B35" s="4" t="s">
        <v>19</v>
      </c>
      <c r="C35" s="41">
        <f ca="1">IF(SUM($C34:C34)-Assumptions!$C$69&lt;0,0,(SUM($C34:C34)-Assumptions!$C$69)*Assumptions!$C$68)</f>
        <v>4022881280.1636</v>
      </c>
      <c r="D35" s="41">
        <f ca="1">IF(SUM($C34:D34)-Assumptions!$C$69&lt;0,-SUM($C35:C35),(SUM($C34:D34)-Assumptions!$C$69)*Assumptions!$C$68-SUM($C35:C35))</f>
        <v>4550728519.3620243</v>
      </c>
      <c r="E35" s="41">
        <f ca="1">IF(SUM($C34:E34)-Assumptions!$C$69&lt;0,-SUM($C35:D35),(SUM($C34:E34)-Assumptions!$C$69)*Assumptions!$C$68-SUM($C35:D35))</f>
        <v>4953258960.0999022</v>
      </c>
      <c r="F35" s="41">
        <f ca="1">IF(SUM($C34:F34)-Assumptions!$C$69&lt;0,-SUM($C35:E35),(SUM($C34:F34)-Assumptions!$C$69)*Assumptions!$C$68-SUM($C35:E35))</f>
        <v>5539793859.377533</v>
      </c>
      <c r="G35" s="41">
        <f ca="1">IF(SUM($C34:G34)-Assumptions!$C$69&lt;0,-SUM($C35:F35),(SUM($C34:G34)-Assumptions!$C$69)*Assumptions!$C$68-SUM($C35:F35))</f>
        <v>6022808232.2548943</v>
      </c>
      <c r="I35" s="163"/>
    </row>
    <row r="36" spans="1:9" ht="16.149999999999999" customHeight="1" x14ac:dyDescent="0.3">
      <c r="B36" s="2" t="s">
        <v>47</v>
      </c>
      <c r="C36" s="51">
        <f ca="1">SUM(C34,-C35)</f>
        <v>9386722987.0484009</v>
      </c>
      <c r="D36" s="51">
        <f ca="1">SUM(D34,-D35)</f>
        <v>10618366545.178057</v>
      </c>
      <c r="E36" s="51">
        <f ca="1">SUM(E34,-E35)</f>
        <v>11557604240.233105</v>
      </c>
      <c r="F36" s="51">
        <f ca="1">SUM(F34,-F35)</f>
        <v>12926185671.880917</v>
      </c>
      <c r="G36" s="51">
        <f ca="1">SUM(G34,-G35)</f>
        <v>14053219208.594753</v>
      </c>
    </row>
    <row r="37" spans="1:9" ht="16.149999999999999" customHeight="1" x14ac:dyDescent="0.3">
      <c r="A37" s="104" t="s">
        <v>215</v>
      </c>
      <c r="B37" s="5" t="s">
        <v>216</v>
      </c>
      <c r="C37" s="41">
        <f ca="1">BalanceSheet!D79</f>
        <v>1971211827.280164</v>
      </c>
      <c r="D37" s="41">
        <f ca="1">BalanceSheet!E79</f>
        <v>2229856974.4873915</v>
      </c>
      <c r="E37" s="41">
        <f ca="1">BalanceSheet!F79</f>
        <v>2427096890.4489527</v>
      </c>
      <c r="F37" s="41">
        <f ca="1">BalanceSheet!G79</f>
        <v>2714498991.0949926</v>
      </c>
      <c r="G37" s="41">
        <f ca="1">BalanceSheet!H79</f>
        <v>2951176033.8048973</v>
      </c>
    </row>
    <row r="38" spans="1:9" ht="16.149999999999999" customHeight="1" x14ac:dyDescent="0.3">
      <c r="B38" s="2" t="s">
        <v>217</v>
      </c>
      <c r="C38" s="51">
        <f ca="1">SUM(C36,-C37)</f>
        <v>7415511159.7682371</v>
      </c>
      <c r="D38" s="51">
        <f ca="1">SUM(D36,-D37)</f>
        <v>8388509570.6906652</v>
      </c>
      <c r="E38" s="51">
        <f ca="1">SUM(E36,-E37)</f>
        <v>9130507349.784153</v>
      </c>
      <c r="F38" s="51">
        <f ca="1">SUM(F36,-F37)</f>
        <v>10211686680.785923</v>
      </c>
      <c r="G38" s="51">
        <f ca="1">SUM(G36,-G37)</f>
        <v>11102043174.789856</v>
      </c>
    </row>
    <row r="39" spans="1:9" s="45" customFormat="1" ht="16.149999999999999" customHeight="1" x14ac:dyDescent="0.25">
      <c r="A39" s="118"/>
      <c r="B39" s="45" t="s">
        <v>112</v>
      </c>
      <c r="C39" s="52">
        <f ca="1">IF(C7=0,0,C36/C7)</f>
        <v>0.23470368725712712</v>
      </c>
      <c r="D39" s="52">
        <f ca="1">IF(D7=0,0,D36/D7)</f>
        <v>0.24583282313078983</v>
      </c>
      <c r="E39" s="52">
        <f ca="1">IF(E7=0,0,E36/E7)</f>
        <v>0.24775716286076455</v>
      </c>
      <c r="F39" s="52">
        <f ca="1">IF(F7=0,0,F36/F7)</f>
        <v>0.25656950386734595</v>
      </c>
      <c r="G39" s="52">
        <f ca="1">IF(G7=0,0,G36/G7)</f>
        <v>0.25827758070249368</v>
      </c>
    </row>
    <row r="40" spans="1:9" ht="16.149999999999999" customHeight="1" x14ac:dyDescent="0.3">
      <c r="B40" s="53"/>
      <c r="C40" s="54"/>
      <c r="D40" s="54"/>
      <c r="E40" s="54"/>
      <c r="F40" s="54"/>
      <c r="G40" s="54"/>
    </row>
    <row r="41" spans="1:9" s="2" customFormat="1" ht="16.149999999999999" customHeight="1" x14ac:dyDescent="0.25">
      <c r="A41" s="114"/>
    </row>
    <row r="42" spans="1:9" s="6" customFormat="1" ht="16.149999999999999" hidden="1" customHeight="1" x14ac:dyDescent="0.25">
      <c r="A42" s="119"/>
      <c r="B42" s="6" t="s">
        <v>31</v>
      </c>
      <c r="C42" s="55">
        <f ca="1">IF(C33=0,0,C30/C33)</f>
        <v>16.525101848905539</v>
      </c>
      <c r="D42" s="55">
        <f ca="1">IF(D33=0,0,D30/D33)</f>
        <v>18.564520531096985</v>
      </c>
      <c r="E42" s="55">
        <f ca="1">IF(E33=0,0,E30/E33)</f>
        <v>20.121040419353299</v>
      </c>
      <c r="F42" s="55">
        <f ca="1">IF(F33=0,0,F30/F33)</f>
        <v>22.388830063874195</v>
      </c>
      <c r="G42" s="55">
        <f ca="1">IF(G33=0,0,G30/G33)</f>
        <v>24.258096483379983</v>
      </c>
    </row>
    <row r="43" spans="1:9" s="6" customFormat="1" ht="16.149999999999999" hidden="1" customHeight="1" x14ac:dyDescent="0.25">
      <c r="A43" s="119"/>
      <c r="B43" s="6" t="s">
        <v>35</v>
      </c>
      <c r="C43" s="45">
        <f ca="1">IF(BalanceSheet!D$24=0,0,C36/BalanceSheet!D$24)</f>
        <v>1.0770812011527893</v>
      </c>
      <c r="D43" s="45">
        <f ca="1">IF(BalanceSheet!E$24=0,0,D36/BalanceSheet!E$24)</f>
        <v>0.62083102730880235</v>
      </c>
      <c r="E43" s="45">
        <f ca="1">IF(BalanceSheet!F$24=0,0,E36/BalanceSheet!F$24)</f>
        <v>0.44055855060200161</v>
      </c>
      <c r="F43" s="45">
        <f ca="1">IF(BalanceSheet!G$24=0,0,F36/BalanceSheet!G$24)</f>
        <v>0.35467002859328783</v>
      </c>
      <c r="G43" s="45">
        <f ca="1">IF(BalanceSheet!H$24=0,0,G36/BalanceSheet!H$24)</f>
        <v>0.29556037983448041</v>
      </c>
    </row>
    <row r="44" spans="1:9" s="6" customFormat="1" ht="16.149999999999999" hidden="1" customHeight="1" x14ac:dyDescent="0.25">
      <c r="A44" s="119"/>
      <c r="B44" s="6" t="s">
        <v>36</v>
      </c>
      <c r="C44" s="45">
        <f ca="1">IF(BalanceSheet!D18-BalanceSheet!D40=0,0,C36/(BalanceSheet!D18-BalanceSheet!D40))</f>
        <v>0.58992184310039841</v>
      </c>
      <c r="D44" s="45">
        <f ca="1">IF(BalanceSheet!E18-BalanceSheet!E40=0,0,D36/(BalanceSheet!E18-BalanceSheet!E40))</f>
        <v>0.43698351201166197</v>
      </c>
      <c r="E44" s="45">
        <f ca="1">IF(BalanceSheet!F18-BalanceSheet!F40=0,0,E36/(BalanceSheet!F18-BalanceSheet!F40))</f>
        <v>0.34574065029095197</v>
      </c>
      <c r="F44" s="45">
        <f ca="1">IF(BalanceSheet!G18-BalanceSheet!G40=0,0,F36/(BalanceSheet!G18-BalanceSheet!G40))</f>
        <v>0.29620807086615786</v>
      </c>
      <c r="G44" s="45">
        <f ca="1">IF(BalanceSheet!H18-BalanceSheet!H40=0,0,G36/(BalanceSheet!H18-BalanceSheet!H40))</f>
        <v>0.25672951739236044</v>
      </c>
    </row>
    <row r="47" spans="1:9" s="56" customFormat="1" ht="16.149999999999999" customHeight="1" x14ac:dyDescent="0.3">
      <c r="A47" s="104"/>
    </row>
    <row r="52" spans="1:1" s="56" customFormat="1" ht="16.149999999999999" customHeight="1" x14ac:dyDescent="0.3">
      <c r="A52" s="104"/>
    </row>
    <row r="53" spans="1:1" s="56" customFormat="1" ht="16.149999999999999" customHeight="1" x14ac:dyDescent="0.3">
      <c r="A53" s="104"/>
    </row>
    <row r="68" spans="1:1" s="56" customFormat="1" ht="16.149999999999999" customHeight="1" x14ac:dyDescent="0.3">
      <c r="A68" s="104"/>
    </row>
  </sheetData>
  <phoneticPr fontId="3" type="noConversion"/>
  <printOptions horizontalCentered="1"/>
  <pageMargins left="0.25" right="0.25" top="0.75" bottom="0.75" header="0.3" footer="0.3"/>
  <pageSetup paperSize="9" scale="78" fitToWidth="0" orientation="landscape" r:id="rId1"/>
  <headerFooter alignWithMargins="0">
    <oddFooter>&amp;C&amp;9Page &amp;P of &amp;N</oddFooter>
  </headerFooter>
  <ignoredErrors>
    <ignoredError sqref="C37:G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47"/>
  <sheetViews>
    <sheetView zoomScale="95" zoomScaleNormal="95" workbookViewId="0">
      <pane ySplit="4" topLeftCell="A5" activePane="bottomLeft" state="frozen"/>
      <selection pane="bottomLeft" activeCell="C6" sqref="C6"/>
    </sheetView>
  </sheetViews>
  <sheetFormatPr defaultColWidth="9.140625" defaultRowHeight="16.149999999999999" customHeight="1" x14ac:dyDescent="0.3"/>
  <cols>
    <col min="1" max="1" width="5.7109375" style="104" customWidth="1"/>
    <col min="2" max="2" width="44.7109375" style="5" customWidth="1"/>
    <col min="3" max="3" width="17.7109375" style="5" customWidth="1"/>
    <col min="4" max="20" width="15.7109375" style="5" customWidth="1"/>
    <col min="21" max="16384" width="9.140625" style="5"/>
  </cols>
  <sheetData>
    <row r="1" spans="1:7" ht="16.149999999999999" customHeight="1" x14ac:dyDescent="0.3">
      <c r="B1" s="103" t="str">
        <f>IF(ISBLANK(Assumptions!$C$4),"Example Limited",Assumptions!$C$4)</f>
        <v>Maisha Transport Company Limited</v>
      </c>
      <c r="C1" s="14"/>
      <c r="D1" s="14"/>
      <c r="E1" s="14"/>
      <c r="F1" s="14"/>
      <c r="G1" s="14"/>
    </row>
    <row r="2" spans="1:7" ht="16.149999999999999" customHeight="1" x14ac:dyDescent="0.3">
      <c r="B2" s="6" t="s">
        <v>66</v>
      </c>
      <c r="C2" s="14"/>
      <c r="D2" s="14"/>
      <c r="E2" s="14"/>
      <c r="F2" s="14"/>
      <c r="G2" s="32"/>
    </row>
    <row r="3" spans="1:7" ht="16.149999999999999" customHeight="1" x14ac:dyDescent="0.3">
      <c r="B3" s="7" t="s">
        <v>37</v>
      </c>
      <c r="C3" s="14"/>
      <c r="D3" s="14"/>
      <c r="E3" s="14"/>
      <c r="F3" s="14"/>
      <c r="G3" s="14"/>
    </row>
    <row r="4" spans="1:7" s="57" customFormat="1" ht="18" customHeight="1" x14ac:dyDescent="0.3">
      <c r="A4" s="120"/>
      <c r="B4" s="33"/>
      <c r="C4" s="35">
        <f>DATE(YEAR(Assumptions!$C$5)+COLUMN(C$1)-COLUMN($B$1),MONTH(Assumptions!$C$5),0)</f>
        <v>46203</v>
      </c>
      <c r="D4" s="35">
        <f>DATE(YEAR(Assumptions!$C$5)+COLUMN(D$1)-COLUMN($B$1),MONTH(Assumptions!$C$5),0)</f>
        <v>46568</v>
      </c>
      <c r="E4" s="35">
        <f>DATE(YEAR(Assumptions!$C$5)+COLUMN(E$1)-COLUMN($B$1),MONTH(Assumptions!$C$5),0)</f>
        <v>46934</v>
      </c>
      <c r="F4" s="35">
        <f>DATE(YEAR(Assumptions!$C$5)+COLUMN(F$1)-COLUMN($B$1),MONTH(Assumptions!$C$5),0)</f>
        <v>47299</v>
      </c>
      <c r="G4" s="35">
        <f>DATE(YEAR(Assumptions!$C$5)+COLUMN(G$1)-COLUMN($B$1),MONTH(Assumptions!$C$5),0)</f>
        <v>47664</v>
      </c>
    </row>
    <row r="5" spans="1:7" ht="16.149999999999999" customHeight="1" x14ac:dyDescent="0.3">
      <c r="B5" s="2" t="s">
        <v>49</v>
      </c>
      <c r="C5" s="58"/>
      <c r="D5" s="58"/>
      <c r="E5" s="58"/>
      <c r="F5" s="58"/>
      <c r="G5" s="58"/>
    </row>
    <row r="6" spans="1:7" ht="16.149999999999999" customHeight="1" x14ac:dyDescent="0.3">
      <c r="B6" s="5" t="s">
        <v>47</v>
      </c>
      <c r="C6" s="41">
        <f ca="1">IncState!C36</f>
        <v>9386722987.0484009</v>
      </c>
      <c r="D6" s="41">
        <f ca="1">IncState!D36</f>
        <v>10618366545.178057</v>
      </c>
      <c r="E6" s="41">
        <f ca="1">IncState!E36</f>
        <v>11557604240.233105</v>
      </c>
      <c r="F6" s="41">
        <f ca="1">IncState!F36</f>
        <v>12926185671.880917</v>
      </c>
      <c r="G6" s="41">
        <f ca="1">IncState!G36</f>
        <v>14053219208.594753</v>
      </c>
    </row>
    <row r="7" spans="1:7" ht="16.149999999999999" customHeight="1" x14ac:dyDescent="0.3">
      <c r="A7" s="104" t="s">
        <v>107</v>
      </c>
      <c r="B7" s="5" t="s">
        <v>22</v>
      </c>
      <c r="C7" s="41">
        <f ca="1">IncState!C33</f>
        <v>863736959.51999998</v>
      </c>
      <c r="D7" s="41">
        <f ca="1">IncState!D33</f>
        <v>863621357.47936082</v>
      </c>
      <c r="E7" s="41">
        <f ca="1">IncState!E33</f>
        <v>863491883.19384491</v>
      </c>
      <c r="F7" s="41">
        <f ca="1">IncState!F33</f>
        <v>863346871.99406719</v>
      </c>
      <c r="G7" s="41">
        <f ca="1">IncState!G33</f>
        <v>863184459.45031607</v>
      </c>
    </row>
    <row r="8" spans="1:7" ht="16.149999999999999" customHeight="1" x14ac:dyDescent="0.3">
      <c r="A8" s="104" t="s">
        <v>111</v>
      </c>
      <c r="B8" s="5" t="s">
        <v>19</v>
      </c>
      <c r="C8" s="41">
        <f ca="1">IncState!C35</f>
        <v>4022881280.1636</v>
      </c>
      <c r="D8" s="41">
        <f ca="1">IncState!D35</f>
        <v>4550728519.3620243</v>
      </c>
      <c r="E8" s="41">
        <f ca="1">IncState!E35</f>
        <v>4953258960.0999022</v>
      </c>
      <c r="F8" s="41">
        <f ca="1">IncState!F35</f>
        <v>5539793859.377533</v>
      </c>
      <c r="G8" s="41">
        <f ca="1">IncState!G35</f>
        <v>6022808232.2548943</v>
      </c>
    </row>
    <row r="9" spans="1:7" ht="16.149999999999999" customHeight="1" x14ac:dyDescent="0.3">
      <c r="B9" s="6" t="s">
        <v>50</v>
      </c>
      <c r="C9" s="41"/>
      <c r="D9" s="59"/>
      <c r="E9" s="59"/>
      <c r="F9" s="59"/>
      <c r="G9" s="59"/>
    </row>
    <row r="10" spans="1:7" ht="16.149999999999999" customHeight="1" x14ac:dyDescent="0.3">
      <c r="A10" s="104" t="s">
        <v>99</v>
      </c>
      <c r="B10" s="5" t="s">
        <v>46</v>
      </c>
      <c r="C10" s="41">
        <f ca="1">SUMIF(IncState!$A$4:$AO$40,$A10,IncState!C$4:C$40)</f>
        <v>0</v>
      </c>
      <c r="D10" s="41">
        <f ca="1">SUMIF(IncState!$A$4:$AO$40,$A10,IncState!D$4:D$40)</f>
        <v>280845625</v>
      </c>
      <c r="E10" s="41">
        <f ca="1">SUMIF(IncState!$A$4:$AO$40,$A10,IncState!E$4:E$40)</f>
        <v>280845625</v>
      </c>
      <c r="F10" s="41">
        <f ca="1">SUMIF(IncState!$A$4:$AO$40,$A10,IncState!F$4:F$40)</f>
        <v>280845625</v>
      </c>
      <c r="G10" s="41">
        <f ca="1">SUMIF(IncState!$A$4:$AO$40,$A10,IncState!G$4:G$40)</f>
        <v>280845625</v>
      </c>
    </row>
    <row r="11" spans="1:7" ht="16.149999999999999" hidden="1" customHeight="1" x14ac:dyDescent="0.3">
      <c r="A11" s="104" t="s">
        <v>100</v>
      </c>
      <c r="B11" s="5" t="s">
        <v>101</v>
      </c>
      <c r="C11" s="41">
        <f ca="1">SUMIF(IncState!$A$4:$AO$40,$A11,IncState!C$4:C$40)</f>
        <v>0</v>
      </c>
      <c r="D11" s="41">
        <f ca="1">SUMIF(IncState!$A$4:$AO$40,$A11,IncState!D$4:D$40)</f>
        <v>0</v>
      </c>
      <c r="E11" s="41">
        <f ca="1">SUMIF(IncState!$A$4:$AO$40,$A11,IncState!E$4:E$40)</f>
        <v>0</v>
      </c>
      <c r="F11" s="41">
        <f ca="1">SUMIF(IncState!$A$4:$AO$40,$A11,IncState!F$4:F$40)</f>
        <v>0</v>
      </c>
      <c r="G11" s="41">
        <f ca="1">SUMIF(IncState!$A$4:$AO$40,$A11,IncState!G$4:G$40)</f>
        <v>0</v>
      </c>
    </row>
    <row r="12" spans="1:7" ht="16.149999999999999" hidden="1" customHeight="1" x14ac:dyDescent="0.3">
      <c r="A12" s="104" t="s">
        <v>124</v>
      </c>
      <c r="B12" s="5" t="s">
        <v>114</v>
      </c>
      <c r="C12" s="41">
        <f>Assumptions!C34</f>
        <v>0</v>
      </c>
      <c r="D12" s="41">
        <f>Assumptions!D34</f>
        <v>0</v>
      </c>
      <c r="E12" s="41">
        <f>Assumptions!E34</f>
        <v>0</v>
      </c>
      <c r="F12" s="41">
        <f>Assumptions!F34</f>
        <v>0</v>
      </c>
      <c r="G12" s="41">
        <f>Assumptions!G34</f>
        <v>0</v>
      </c>
    </row>
    <row r="13" spans="1:7" ht="16.149999999999999" customHeight="1" x14ac:dyDescent="0.3">
      <c r="B13" s="6" t="s">
        <v>51</v>
      </c>
      <c r="C13" s="41"/>
      <c r="D13" s="51"/>
      <c r="E13" s="51"/>
      <c r="F13" s="51"/>
      <c r="G13" s="51"/>
    </row>
    <row r="14" spans="1:7" ht="16.149999999999999" customHeight="1" x14ac:dyDescent="0.3">
      <c r="A14" s="104" t="s">
        <v>188</v>
      </c>
      <c r="B14" s="5" t="s">
        <v>6</v>
      </c>
      <c r="C14" s="41">
        <f ca="1">BalanceSheet!C12-BalanceSheet!D12</f>
        <v>-1972303428.3879449</v>
      </c>
      <c r="D14" s="41">
        <f ca="1">BalanceSheet!D12-BalanceSheet!E12</f>
        <v>-86781350.849069834</v>
      </c>
      <c r="E14" s="41">
        <f ca="1">BalanceSheet!E12-BalanceSheet!F12</f>
        <v>-158650794.46580315</v>
      </c>
      <c r="F14" s="41">
        <f ca="1">BalanceSheet!F12-BalanceSheet!G12</f>
        <v>-142572007.85954571</v>
      </c>
      <c r="G14" s="41">
        <f ca="1">BalanceSheet!G12-BalanceSheet!H12</f>
        <v>-188824606.52498913</v>
      </c>
    </row>
    <row r="15" spans="1:7" ht="16.149999999999999" customHeight="1" x14ac:dyDescent="0.3">
      <c r="A15" s="104" t="s">
        <v>189</v>
      </c>
      <c r="B15" s="5" t="s">
        <v>177</v>
      </c>
      <c r="C15" s="41">
        <f ca="1">BalanceSheet!C13-BalanceSheet!D13</f>
        <v>-3232386174.3024654</v>
      </c>
      <c r="D15" s="41">
        <f ca="1">BalanceSheet!D13-BalanceSheet!E13</f>
        <v>-258590893.94419718</v>
      </c>
      <c r="E15" s="41">
        <f ca="1">BalanceSheet!E13-BalanceSheet!F13</f>
        <v>-268976921.65179253</v>
      </c>
      <c r="F15" s="41">
        <f ca="1">BalanceSheet!F13-BalanceSheet!G13</f>
        <v>-311921662.50445318</v>
      </c>
      <c r="G15" s="41">
        <f ca="1">BalanceSheet!G13-BalanceSheet!H13</f>
        <v>-325750052.19223309</v>
      </c>
    </row>
    <row r="16" spans="1:7" ht="16.149999999999999" hidden="1" customHeight="1" x14ac:dyDescent="0.3">
      <c r="A16" s="104" t="s">
        <v>125</v>
      </c>
      <c r="B16" s="5" t="s">
        <v>115</v>
      </c>
      <c r="C16" s="41">
        <f>Assumptions!C35</f>
        <v>0</v>
      </c>
      <c r="D16" s="41">
        <f>Assumptions!D35</f>
        <v>0</v>
      </c>
      <c r="E16" s="41">
        <f>Assumptions!E35</f>
        <v>0</v>
      </c>
      <c r="F16" s="41">
        <f>Assumptions!F35</f>
        <v>0</v>
      </c>
      <c r="G16" s="41">
        <f>Assumptions!G35</f>
        <v>0</v>
      </c>
    </row>
    <row r="17" spans="1:7" ht="16.149999999999999" hidden="1" customHeight="1" x14ac:dyDescent="0.3">
      <c r="A17" s="104" t="s">
        <v>126</v>
      </c>
      <c r="B17" s="5" t="s">
        <v>116</v>
      </c>
      <c r="C17" s="41">
        <f>Assumptions!C36</f>
        <v>0</v>
      </c>
      <c r="D17" s="41">
        <f>Assumptions!D36</f>
        <v>0</v>
      </c>
      <c r="E17" s="41">
        <f>Assumptions!E36</f>
        <v>0</v>
      </c>
      <c r="F17" s="41">
        <f>Assumptions!F36</f>
        <v>0</v>
      </c>
      <c r="G17" s="41">
        <f>Assumptions!G36</f>
        <v>0</v>
      </c>
    </row>
    <row r="18" spans="1:7" ht="16.149999999999999" customHeight="1" x14ac:dyDescent="0.3">
      <c r="A18" s="104" t="s">
        <v>193</v>
      </c>
      <c r="B18" s="5" t="s">
        <v>184</v>
      </c>
      <c r="C18" s="41">
        <f ca="1">BalanceSheet!D33-BalanceSheet!C33</f>
        <v>1602070211.2746432</v>
      </c>
      <c r="D18" s="41">
        <f ca="1">BalanceSheet!E33-BalanceSheet!D33</f>
        <v>71299486.857835531</v>
      </c>
      <c r="E18" s="41">
        <f ca="1">BalanceSheet!F33-BalanceSheet!E33</f>
        <v>127863563.43315315</v>
      </c>
      <c r="F18" s="41">
        <f ca="1">BalanceSheet!G33-BalanceSheet!F33</f>
        <v>115717937.83052278</v>
      </c>
      <c r="G18" s="41">
        <f ca="1">BalanceSheet!H33-BalanceSheet!G33</f>
        <v>152152577.91368365</v>
      </c>
    </row>
    <row r="19" spans="1:7" ht="16.149999999999999" customHeight="1" x14ac:dyDescent="0.3">
      <c r="A19" s="104" t="s">
        <v>194</v>
      </c>
      <c r="B19" s="5" t="s">
        <v>147</v>
      </c>
      <c r="C19" s="41">
        <f ca="1">BalanceSheet!D34-BalanceSheet!C34</f>
        <v>228242247.31847993</v>
      </c>
      <c r="D19" s="41">
        <f ca="1">BalanceSheet!E34-BalanceSheet!D34</f>
        <v>31451840.039361656</v>
      </c>
      <c r="E19" s="41">
        <f ca="1">BalanceSheet!F34-BalanceSheet!E34</f>
        <v>21024019.321764201</v>
      </c>
      <c r="F19" s="41">
        <f ca="1">BalanceSheet!G34-BalanceSheet!F34</f>
        <v>30277975.558987141</v>
      </c>
      <c r="G19" s="41">
        <f ca="1">BalanceSheet!H34-BalanceSheet!G34</f>
        <v>25158892.564599931</v>
      </c>
    </row>
    <row r="20" spans="1:7" ht="16.149999999999999" customHeight="1" x14ac:dyDescent="0.3">
      <c r="A20" s="104" t="s">
        <v>97</v>
      </c>
      <c r="B20" s="5" t="s">
        <v>185</v>
      </c>
      <c r="C20" s="41">
        <f ca="1">BalanceSheet!D35-BalanceSheet!C35</f>
        <v>15713476.575000001</v>
      </c>
      <c r="D20" s="41">
        <f ca="1">BalanceSheet!E35-BalanceSheet!D35</f>
        <v>942808.59450000152</v>
      </c>
      <c r="E20" s="41">
        <f ca="1">BalanceSheet!F35-BalanceSheet!E35</f>
        <v>999377.11017000116</v>
      </c>
      <c r="F20" s="41">
        <f ca="1">BalanceSheet!G35-BalanceSheet!F35</f>
        <v>1059339.7367802002</v>
      </c>
      <c r="G20" s="41">
        <f ca="1">BalanceSheet!H35-BalanceSheet!G35</f>
        <v>1122900.120987013</v>
      </c>
    </row>
    <row r="21" spans="1:7" ht="16.149999999999999" hidden="1" customHeight="1" x14ac:dyDescent="0.3">
      <c r="A21" s="104" t="s">
        <v>127</v>
      </c>
      <c r="B21" s="5" t="s">
        <v>117</v>
      </c>
      <c r="C21" s="41">
        <f>Assumptions!C37</f>
        <v>0</v>
      </c>
      <c r="D21" s="41">
        <f>Assumptions!D37</f>
        <v>0</v>
      </c>
      <c r="E21" s="41">
        <f>Assumptions!E37</f>
        <v>0</v>
      </c>
      <c r="F21" s="41">
        <f>Assumptions!F37</f>
        <v>0</v>
      </c>
      <c r="G21" s="41">
        <f>Assumptions!G37</f>
        <v>0</v>
      </c>
    </row>
    <row r="22" spans="1:7" ht="16.149999999999999" hidden="1" customHeight="1" x14ac:dyDescent="0.3">
      <c r="A22" s="104" t="s">
        <v>128</v>
      </c>
      <c r="B22" s="5" t="s">
        <v>118</v>
      </c>
      <c r="C22" s="41">
        <f>Assumptions!C38</f>
        <v>0</v>
      </c>
      <c r="D22" s="41">
        <f>Assumptions!D38</f>
        <v>0</v>
      </c>
      <c r="E22" s="41">
        <f>Assumptions!E38</f>
        <v>0</v>
      </c>
      <c r="F22" s="41">
        <f>Assumptions!F38</f>
        <v>0</v>
      </c>
      <c r="G22" s="41">
        <f>Assumptions!G38</f>
        <v>0</v>
      </c>
    </row>
    <row r="23" spans="1:7" s="6" customFormat="1" ht="16.149999999999999" customHeight="1" x14ac:dyDescent="0.25">
      <c r="A23" s="119"/>
      <c r="B23" s="6" t="s">
        <v>52</v>
      </c>
      <c r="C23" s="60">
        <f ca="1">SUM(C6:C22)</f>
        <v>10914677559.209715</v>
      </c>
      <c r="D23" s="60">
        <f t="shared" ref="D23:G23" ca="1" si="0">SUM(D6:D22)</f>
        <v>16071883937.717873</v>
      </c>
      <c r="E23" s="60">
        <f t="shared" ca="1" si="0"/>
        <v>17377459952.274342</v>
      </c>
      <c r="F23" s="60">
        <f t="shared" ca="1" si="0"/>
        <v>19302733611.014812</v>
      </c>
      <c r="G23" s="60">
        <f t="shared" ca="1" si="0"/>
        <v>20883917237.182011</v>
      </c>
    </row>
    <row r="24" spans="1:7" ht="16.149999999999999" customHeight="1" x14ac:dyDescent="0.3">
      <c r="A24" s="104" t="s">
        <v>107</v>
      </c>
      <c r="B24" s="5" t="s">
        <v>53</v>
      </c>
      <c r="C24" s="41">
        <f ca="1">-C7</f>
        <v>-863736959.51999998</v>
      </c>
      <c r="D24" s="41">
        <f t="shared" ref="D24:G24" ca="1" si="1">-D7</f>
        <v>-863621357.47936082</v>
      </c>
      <c r="E24" s="41">
        <f t="shared" ca="1" si="1"/>
        <v>-863491883.19384491</v>
      </c>
      <c r="F24" s="41">
        <f t="shared" ca="1" si="1"/>
        <v>-863346871.99406719</v>
      </c>
      <c r="G24" s="41">
        <f t="shared" ca="1" si="1"/>
        <v>-863184459.45031607</v>
      </c>
    </row>
    <row r="25" spans="1:7" ht="16.149999999999999" customHeight="1" x14ac:dyDescent="0.3">
      <c r="A25" s="104" t="s">
        <v>111</v>
      </c>
      <c r="B25" s="5" t="s">
        <v>54</v>
      </c>
      <c r="C25" s="41">
        <f ca="1">BalanceSheet!D37-BalanceSheet!C37-C8</f>
        <v>-2346680746.7621002</v>
      </c>
      <c r="D25" s="41">
        <f ca="1">BalanceSheet!E37-BalanceSheet!D37-D8</f>
        <v>-4330792169.6960144</v>
      </c>
      <c r="E25" s="41">
        <f ca="1">BalanceSheet!F37-BalanceSheet!E37-E8</f>
        <v>-4785537943.1257868</v>
      </c>
      <c r="F25" s="41">
        <f ca="1">BalanceSheet!G37-BalanceSheet!F37-F8</f>
        <v>-5295404318.0118532</v>
      </c>
      <c r="G25" s="41">
        <f ca="1">BalanceSheet!H37-BalanceSheet!G37-G8</f>
        <v>-5821552243.555994</v>
      </c>
    </row>
    <row r="26" spans="1:7" s="6" customFormat="1" ht="16.149999999999999" customHeight="1" thickBot="1" x14ac:dyDescent="0.3">
      <c r="A26" s="119"/>
      <c r="B26" s="6" t="s">
        <v>55</v>
      </c>
      <c r="C26" s="61">
        <f ca="1">SUM(C23:C25)</f>
        <v>7704259852.9276142</v>
      </c>
      <c r="D26" s="61">
        <f t="shared" ref="D26:G26" ca="1" si="2">SUM(D23:D25)</f>
        <v>10877470410.542498</v>
      </c>
      <c r="E26" s="61">
        <f t="shared" ca="1" si="2"/>
        <v>11728430125.954708</v>
      </c>
      <c r="F26" s="61">
        <f t="shared" ca="1" si="2"/>
        <v>13143982421.008892</v>
      </c>
      <c r="G26" s="61">
        <f t="shared" ca="1" si="2"/>
        <v>14199180534.175699</v>
      </c>
    </row>
    <row r="27" spans="1:7" ht="16.149999999999999" customHeight="1" x14ac:dyDescent="0.3">
      <c r="B27" s="2" t="s">
        <v>56</v>
      </c>
      <c r="C27" s="41"/>
      <c r="D27" s="41"/>
      <c r="E27" s="41"/>
      <c r="F27" s="41"/>
      <c r="G27" s="41"/>
    </row>
    <row r="28" spans="1:7" ht="16.149999999999999" customHeight="1" x14ac:dyDescent="0.3">
      <c r="A28" s="104" t="s">
        <v>129</v>
      </c>
      <c r="B28" s="5" t="s">
        <v>57</v>
      </c>
      <c r="C28" s="41">
        <f>Assumptions!C39</f>
        <v>4290765000</v>
      </c>
      <c r="D28" s="41">
        <f>Assumptions!D39</f>
        <v>0</v>
      </c>
      <c r="E28" s="41">
        <f>Assumptions!E39</f>
        <v>0</v>
      </c>
      <c r="F28" s="41">
        <f>Assumptions!F39</f>
        <v>0</v>
      </c>
      <c r="G28" s="41">
        <f>Assumptions!G39</f>
        <v>0</v>
      </c>
    </row>
    <row r="29" spans="1:7" ht="16.149999999999999" hidden="1" customHeight="1" x14ac:dyDescent="0.3">
      <c r="A29" s="104" t="s">
        <v>130</v>
      </c>
      <c r="B29" s="5" t="s">
        <v>119</v>
      </c>
      <c r="C29" s="41">
        <f>Assumptions!C40</f>
        <v>0</v>
      </c>
      <c r="D29" s="41">
        <f>Assumptions!D40</f>
        <v>0</v>
      </c>
      <c r="E29" s="41">
        <f>Assumptions!E40</f>
        <v>0</v>
      </c>
      <c r="F29" s="41">
        <f>Assumptions!F40</f>
        <v>0</v>
      </c>
      <c r="G29" s="41">
        <f>Assumptions!G40</f>
        <v>0</v>
      </c>
    </row>
    <row r="30" spans="1:7" ht="16.149999999999999" hidden="1" customHeight="1" x14ac:dyDescent="0.3">
      <c r="A30" s="104" t="s">
        <v>131</v>
      </c>
      <c r="B30" s="5" t="s">
        <v>120</v>
      </c>
      <c r="C30" s="41">
        <f>Assumptions!C41</f>
        <v>0</v>
      </c>
      <c r="D30" s="41">
        <f>Assumptions!D41</f>
        <v>0</v>
      </c>
      <c r="E30" s="41">
        <f>Assumptions!E41</f>
        <v>0</v>
      </c>
      <c r="F30" s="41">
        <f>Assumptions!F41</f>
        <v>0</v>
      </c>
      <c r="G30" s="41">
        <f>Assumptions!G41</f>
        <v>0</v>
      </c>
    </row>
    <row r="31" spans="1:7" s="6" customFormat="1" ht="16.149999999999999" customHeight="1" thickBot="1" x14ac:dyDescent="0.3">
      <c r="A31" s="119"/>
      <c r="B31" s="6" t="s">
        <v>58</v>
      </c>
      <c r="C31" s="61">
        <f>SUM(C28:C30)</f>
        <v>4290765000</v>
      </c>
      <c r="D31" s="61">
        <f t="shared" ref="D31:G31" si="3">SUM(D28:D30)</f>
        <v>0</v>
      </c>
      <c r="E31" s="61">
        <f t="shared" si="3"/>
        <v>0</v>
      </c>
      <c r="F31" s="61">
        <f t="shared" si="3"/>
        <v>0</v>
      </c>
      <c r="G31" s="61">
        <f t="shared" si="3"/>
        <v>0</v>
      </c>
    </row>
    <row r="32" spans="1:7" ht="16.149999999999999" customHeight="1" x14ac:dyDescent="0.3">
      <c r="B32" s="2" t="s">
        <v>59</v>
      </c>
      <c r="C32" s="51"/>
      <c r="D32" s="51"/>
      <c r="E32" s="51"/>
      <c r="F32" s="51"/>
      <c r="G32" s="51"/>
    </row>
    <row r="33" spans="1:7" ht="16.149999999999999" hidden="1" customHeight="1" x14ac:dyDescent="0.3">
      <c r="A33" s="104" t="s">
        <v>132</v>
      </c>
      <c r="B33" s="5" t="s">
        <v>60</v>
      </c>
      <c r="C33" s="41">
        <f>Assumptions!C42</f>
        <v>0</v>
      </c>
      <c r="D33" s="41">
        <f>Assumptions!D42</f>
        <v>0</v>
      </c>
      <c r="E33" s="41">
        <f>Assumptions!E42</f>
        <v>0</v>
      </c>
      <c r="F33" s="41">
        <f>Assumptions!F42</f>
        <v>0</v>
      </c>
      <c r="G33" s="41">
        <f>Assumptions!G42</f>
        <v>0</v>
      </c>
    </row>
    <row r="34" spans="1:7" ht="16.149999999999999" hidden="1" customHeight="1" x14ac:dyDescent="0.3">
      <c r="A34" s="104" t="s">
        <v>215</v>
      </c>
      <c r="B34" s="5" t="s">
        <v>220</v>
      </c>
      <c r="C34" s="41">
        <f ca="1">BalanceSheet!D38-BalanceSheet!C38-IncState!C37</f>
        <v>0</v>
      </c>
      <c r="D34" s="41">
        <f ca="1">BalanceSheet!E38-BalanceSheet!D38-IncState!D37</f>
        <v>-1971211827.2801638</v>
      </c>
      <c r="E34" s="41">
        <f ca="1">BalanceSheet!F38-BalanceSheet!E38-IncState!E37</f>
        <v>-2229856974.4873915</v>
      </c>
      <c r="F34" s="41">
        <f ca="1">BalanceSheet!G38-BalanceSheet!F38-IncState!F37</f>
        <v>-2427096890.4489527</v>
      </c>
      <c r="G34" s="41">
        <f ca="1">BalanceSheet!H38-BalanceSheet!G38-IncState!G37</f>
        <v>-2714498991.0949926</v>
      </c>
    </row>
    <row r="35" spans="1:7" ht="16.149999999999999" hidden="1" customHeight="1" x14ac:dyDescent="0.3">
      <c r="A35" s="104" t="s">
        <v>133</v>
      </c>
      <c r="B35" s="5" t="s">
        <v>167</v>
      </c>
      <c r="C35" s="41">
        <f>Assumptions!C43</f>
        <v>0</v>
      </c>
      <c r="D35" s="41">
        <f>Assumptions!D43</f>
        <v>0</v>
      </c>
      <c r="E35" s="41">
        <f>Assumptions!E43</f>
        <v>0</v>
      </c>
      <c r="F35" s="41">
        <f>Assumptions!F43</f>
        <v>0</v>
      </c>
      <c r="G35" s="41">
        <f>Assumptions!G43</f>
        <v>0</v>
      </c>
    </row>
    <row r="36" spans="1:7" ht="16.149999999999999" hidden="1" customHeight="1" x14ac:dyDescent="0.3">
      <c r="A36" s="104" t="s">
        <v>135</v>
      </c>
      <c r="B36" s="5" t="s">
        <v>168</v>
      </c>
      <c r="C36" s="41">
        <f>Assumptions!C44</f>
        <v>0</v>
      </c>
      <c r="D36" s="41">
        <f>Assumptions!D44</f>
        <v>0</v>
      </c>
      <c r="E36" s="41">
        <f>Assumptions!E44</f>
        <v>0</v>
      </c>
      <c r="F36" s="41">
        <f>Assumptions!F44</f>
        <v>0</v>
      </c>
      <c r="G36" s="41">
        <f>Assumptions!G44</f>
        <v>0</v>
      </c>
    </row>
    <row r="37" spans="1:7" ht="16.149999999999999" hidden="1" customHeight="1" x14ac:dyDescent="0.3">
      <c r="A37" s="104" t="s">
        <v>137</v>
      </c>
      <c r="B37" s="5" t="s">
        <v>169</v>
      </c>
      <c r="C37" s="41">
        <f>Assumptions!C45</f>
        <v>0</v>
      </c>
      <c r="D37" s="41">
        <f>Assumptions!D45</f>
        <v>0</v>
      </c>
      <c r="E37" s="41">
        <f>Assumptions!E45</f>
        <v>0</v>
      </c>
      <c r="F37" s="41">
        <f>Assumptions!F45</f>
        <v>0</v>
      </c>
      <c r="G37" s="41">
        <f>Assumptions!G45</f>
        <v>0</v>
      </c>
    </row>
    <row r="38" spans="1:7" ht="16.149999999999999" hidden="1" customHeight="1" x14ac:dyDescent="0.3">
      <c r="A38" s="104" t="s">
        <v>139</v>
      </c>
      <c r="B38" s="5" t="s">
        <v>170</v>
      </c>
      <c r="C38" s="41">
        <f>Assumptions!C46</f>
        <v>0</v>
      </c>
      <c r="D38" s="41">
        <f>Assumptions!D46</f>
        <v>0</v>
      </c>
      <c r="E38" s="41">
        <f>Assumptions!E46</f>
        <v>0</v>
      </c>
      <c r="F38" s="41">
        <f>Assumptions!F46</f>
        <v>0</v>
      </c>
      <c r="G38" s="41">
        <f>Assumptions!G46</f>
        <v>0</v>
      </c>
    </row>
    <row r="39" spans="1:7" ht="16.149999999999999" customHeight="1" x14ac:dyDescent="0.3">
      <c r="A39" s="104" t="s">
        <v>133</v>
      </c>
      <c r="B39" s="5" t="s">
        <v>171</v>
      </c>
      <c r="C39" s="41">
        <f ca="1">-OFFSET(Loans1!$F$8,1+COLUMN(C$4)-COLUMN($B$4),0,1,1)</f>
        <v>-963350.33865976334</v>
      </c>
      <c r="D39" s="41">
        <f ca="1">-OFFSET(Loans1!$F$8,1+COLUMN(D$4)-COLUMN($B$4),0,1,1)</f>
        <v>-1078952.3792989254</v>
      </c>
      <c r="E39" s="41">
        <f ca="1">-OFFSET(Loans1!$F$8,1+COLUMN(E$4)-COLUMN($B$4),0,1,1)</f>
        <v>-1208426.6648148298</v>
      </c>
      <c r="F39" s="41">
        <f ca="1">-OFFSET(Loans1!$F$8,1+COLUMN(F$4)-COLUMN($B$4),0,1,1)</f>
        <v>-1353437.8645925522</v>
      </c>
      <c r="G39" s="41">
        <f ca="1">-OFFSET(Loans1!$F$8,1+COLUMN(G$4)-COLUMN($B$4),0,1,1)</f>
        <v>-1515850.4083436728</v>
      </c>
    </row>
    <row r="40" spans="1:7" ht="16.149999999999999" hidden="1" customHeight="1" x14ac:dyDescent="0.3">
      <c r="A40" s="104" t="s">
        <v>135</v>
      </c>
      <c r="B40" s="5" t="s">
        <v>172</v>
      </c>
      <c r="C40" s="41">
        <f ca="1">-OFFSET(Loans2!$F$8,1+COLUMN(C$4)-COLUMN($B$4),0,1,1)</f>
        <v>0</v>
      </c>
      <c r="D40" s="41">
        <f ca="1">-OFFSET(Loans2!$F$8,1+COLUMN(D$4)-COLUMN($B$4),0,1,1)</f>
        <v>0</v>
      </c>
      <c r="E40" s="41">
        <f ca="1">-OFFSET(Loans2!$F$8,1+COLUMN(E$4)-COLUMN($B$4),0,1,1)</f>
        <v>0</v>
      </c>
      <c r="F40" s="41">
        <f ca="1">-OFFSET(Loans2!$F$8,1+COLUMN(F$4)-COLUMN($B$4),0,1,1)</f>
        <v>0</v>
      </c>
      <c r="G40" s="41">
        <f ca="1">-OFFSET(Loans2!$F$8,1+COLUMN(G$4)-COLUMN($B$4),0,1,1)</f>
        <v>0</v>
      </c>
    </row>
    <row r="41" spans="1:7" ht="16.149999999999999" hidden="1" customHeight="1" x14ac:dyDescent="0.3">
      <c r="A41" s="104" t="s">
        <v>137</v>
      </c>
      <c r="B41" s="5" t="s">
        <v>173</v>
      </c>
      <c r="C41" s="41">
        <f ca="1">-OFFSET(Loans3!$F$8,1+COLUMN(C$4)-COLUMN($B$4),0,1,1)</f>
        <v>0</v>
      </c>
      <c r="D41" s="41">
        <f ca="1">-OFFSET(Loans3!$F$8,1+COLUMN(D$4)-COLUMN($B$4),0,1,1)</f>
        <v>0</v>
      </c>
      <c r="E41" s="41">
        <f ca="1">-OFFSET(Loans3!$F$8,1+COLUMN(E$4)-COLUMN($B$4),0,1,1)</f>
        <v>0</v>
      </c>
      <c r="F41" s="41">
        <f ca="1">-OFFSET(Loans3!$F$8,1+COLUMN(F$4)-COLUMN($B$4),0,1,1)</f>
        <v>0</v>
      </c>
      <c r="G41" s="41">
        <f ca="1">-OFFSET(Loans3!$F$8,1+COLUMN(G$4)-COLUMN($B$4),0,1,1)</f>
        <v>0</v>
      </c>
    </row>
    <row r="42" spans="1:7" ht="16.149999999999999" hidden="1" customHeight="1" x14ac:dyDescent="0.3">
      <c r="A42" s="104" t="s">
        <v>139</v>
      </c>
      <c r="B42" s="5" t="s">
        <v>174</v>
      </c>
      <c r="C42" s="41">
        <f ca="1">-OFFSET(Leases!$F$8,1+COLUMN(C$4)-COLUMN($B$4),0,1,1)</f>
        <v>0</v>
      </c>
      <c r="D42" s="41">
        <f ca="1">-OFFSET(Leases!$F$8,1+COLUMN(D$4)-COLUMN($B$4),0,1,1)</f>
        <v>0</v>
      </c>
      <c r="E42" s="41">
        <f ca="1">-OFFSET(Leases!$F$8,1+COLUMN(E$4)-COLUMN($B$4),0,1,1)</f>
        <v>0</v>
      </c>
      <c r="F42" s="41">
        <f ca="1">-OFFSET(Leases!$F$8,1+COLUMN(F$4)-COLUMN($B$4),0,1,1)</f>
        <v>0</v>
      </c>
      <c r="G42" s="41">
        <f ca="1">-OFFSET(Leases!$F$8,1+COLUMN(G$4)-COLUMN($B$4),0,1,1)</f>
        <v>0</v>
      </c>
    </row>
    <row r="43" spans="1:7" s="6" customFormat="1" ht="16.149999999999999" customHeight="1" thickBot="1" x14ac:dyDescent="0.3">
      <c r="A43" s="119"/>
      <c r="B43" s="6" t="s">
        <v>61</v>
      </c>
      <c r="C43" s="61">
        <f ca="1">SUM(C33:C42)</f>
        <v>-963350.33865976334</v>
      </c>
      <c r="D43" s="61">
        <f t="shared" ref="D43:G43" ca="1" si="4">SUM(D33:D42)</f>
        <v>-1972290779.6594627</v>
      </c>
      <c r="E43" s="61">
        <f t="shared" ca="1" si="4"/>
        <v>-2231065401.1522064</v>
      </c>
      <c r="F43" s="61">
        <f t="shared" ca="1" si="4"/>
        <v>-2428450328.3135452</v>
      </c>
      <c r="G43" s="61">
        <f t="shared" ca="1" si="4"/>
        <v>-2716014841.5033364</v>
      </c>
    </row>
    <row r="44" spans="1:7" ht="16.149999999999999" customHeight="1" x14ac:dyDescent="0.3">
      <c r="B44" s="5" t="s">
        <v>62</v>
      </c>
      <c r="C44" s="41">
        <f ca="1">SUM(C26,C31,C43)</f>
        <v>11994061502.588955</v>
      </c>
      <c r="D44" s="41">
        <f ca="1">SUM(D26,D31,D43)</f>
        <v>8905179630.8830357</v>
      </c>
      <c r="E44" s="41">
        <f ca="1">SUM(E26,E31,E43)</f>
        <v>9497364724.8025017</v>
      </c>
      <c r="F44" s="41">
        <f ca="1">SUM(F26,F31,F43)</f>
        <v>10715532092.695347</v>
      </c>
      <c r="G44" s="41">
        <f ca="1">SUM(G26,G31,G43)</f>
        <v>11483165692.672363</v>
      </c>
    </row>
    <row r="45" spans="1:7" ht="16.149999999999999" customHeight="1" x14ac:dyDescent="0.3">
      <c r="B45" s="5" t="s">
        <v>64</v>
      </c>
      <c r="C45" s="41">
        <f ca="1">BalanceSheet!C16-BalanceSheet!C32</f>
        <v>603749999.99999988</v>
      </c>
      <c r="D45" s="41">
        <f ca="1">BalanceSheet!D16-BalanceSheet!D32</f>
        <v>12597811502.588955</v>
      </c>
      <c r="E45" s="41">
        <f ca="1">BalanceSheet!E16-BalanceSheet!E32</f>
        <v>21502991133.471992</v>
      </c>
      <c r="F45" s="41">
        <f ca="1">BalanceSheet!F16-BalanceSheet!F32</f>
        <v>31000355858.274494</v>
      </c>
      <c r="G45" s="41">
        <f ca="1">BalanceSheet!G16-BalanceSheet!G32</f>
        <v>41715887950.969841</v>
      </c>
    </row>
    <row r="46" spans="1:7" ht="16.149999999999999" customHeight="1" thickBot="1" x14ac:dyDescent="0.35">
      <c r="B46" s="2" t="s">
        <v>63</v>
      </c>
      <c r="C46" s="62">
        <f ca="1">SUM(C44,C45)</f>
        <v>12597811502.588955</v>
      </c>
      <c r="D46" s="62">
        <f ca="1">SUM(D44,D45)</f>
        <v>21502991133.471992</v>
      </c>
      <c r="E46" s="62">
        <f ca="1">SUM(E44,E45)</f>
        <v>31000355858.274494</v>
      </c>
      <c r="F46" s="62">
        <f ca="1">SUM(F44,F45)</f>
        <v>41715887950.969841</v>
      </c>
      <c r="G46" s="62">
        <f ca="1">SUM(G44,G45)</f>
        <v>53199053643.642204</v>
      </c>
    </row>
    <row r="47" spans="1:7" ht="16.149999999999999" customHeight="1" thickTop="1" x14ac:dyDescent="0.3"/>
  </sheetData>
  <printOptions horizontalCentered="1"/>
  <pageMargins left="0.59055118110236227" right="0.59055118110236227" top="0.59055118110236227" bottom="0.59055118110236227" header="0.39370078740157483" footer="0.39370078740157483"/>
  <pageSetup paperSize="9" fitToHeight="0" orientation="landscape" r:id="rId1"/>
  <headerFooter>
    <oddFooter>&amp;C&amp;9Page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86"/>
  <sheetViews>
    <sheetView zoomScale="95" workbookViewId="0">
      <pane ySplit="4" topLeftCell="A5" activePane="bottomLeft" state="frozen"/>
      <selection pane="bottomLeft" activeCell="C26" sqref="C26"/>
    </sheetView>
  </sheetViews>
  <sheetFormatPr defaultColWidth="9.140625" defaultRowHeight="16.149999999999999" customHeight="1" x14ac:dyDescent="0.3"/>
  <cols>
    <col min="1" max="1" width="5.7109375" style="104" customWidth="1"/>
    <col min="2" max="2" width="38.140625" style="5" customWidth="1"/>
    <col min="3" max="8" width="15.7109375" style="14" customWidth="1"/>
    <col min="9" max="20" width="15.7109375" style="5" customWidth="1"/>
    <col min="21" max="16384" width="9.140625" style="5"/>
  </cols>
  <sheetData>
    <row r="1" spans="1:8" ht="16.149999999999999" customHeight="1" x14ac:dyDescent="0.3">
      <c r="B1" s="103" t="str">
        <f>IF(ISBLANK(Assumptions!$C$4),"Example Limited",Assumptions!$C$4)</f>
        <v>Maisha Transport Company Limited</v>
      </c>
      <c r="C1" s="16"/>
    </row>
    <row r="2" spans="1:8" ht="16.149999999999999" customHeight="1" x14ac:dyDescent="0.3">
      <c r="B2" s="6" t="s">
        <v>15</v>
      </c>
      <c r="C2" s="16"/>
      <c r="F2" s="63"/>
      <c r="G2" s="63"/>
      <c r="H2" s="63"/>
    </row>
    <row r="3" spans="1:8" ht="16.149999999999999" customHeight="1" x14ac:dyDescent="0.3">
      <c r="B3" s="7" t="s">
        <v>37</v>
      </c>
    </row>
    <row r="4" spans="1:8" s="36" customFormat="1" ht="18" customHeight="1" x14ac:dyDescent="0.25">
      <c r="A4" s="108"/>
      <c r="B4" s="33"/>
      <c r="C4" s="64">
        <f>DATE(YEAR(Assumptions!$C$5)+COLUMN(B$1)-COLUMN($B$1),MONTH(Assumptions!$C$5),0)</f>
        <v>45838</v>
      </c>
      <c r="D4" s="35">
        <f>DATE(YEAR(Assumptions!$C$5)+COLUMN(C$1)-COLUMN($B$1),MONTH(Assumptions!$C$5),0)</f>
        <v>46203</v>
      </c>
      <c r="E4" s="35">
        <f>DATE(YEAR(Assumptions!$C$5)+COLUMN(D$1)-COLUMN($B$1),MONTH(Assumptions!$C$5),0)</f>
        <v>46568</v>
      </c>
      <c r="F4" s="35">
        <f>DATE(YEAR(Assumptions!$C$5)+COLUMN(E$1)-COLUMN($B$1),MONTH(Assumptions!$C$5),0)</f>
        <v>46934</v>
      </c>
      <c r="G4" s="35">
        <f>DATE(YEAR(Assumptions!$C$5)+COLUMN(F$1)-COLUMN($B$1),MONTH(Assumptions!$C$5),0)</f>
        <v>47299</v>
      </c>
      <c r="H4" s="35">
        <f>DATE(YEAR(Assumptions!$C$5)+COLUMN(G$1)-COLUMN($B$1),MONTH(Assumptions!$C$5),0)</f>
        <v>47664</v>
      </c>
    </row>
    <row r="5" spans="1:8" s="2" customFormat="1" ht="16.149999999999999" customHeight="1" x14ac:dyDescent="0.25">
      <c r="A5" s="107"/>
      <c r="B5" s="2" t="s">
        <v>195</v>
      </c>
      <c r="C5" s="65"/>
      <c r="D5" s="66"/>
      <c r="E5" s="65"/>
      <c r="F5" s="65"/>
      <c r="G5" s="65"/>
      <c r="H5" s="65"/>
    </row>
    <row r="6" spans="1:8" s="2" customFormat="1" ht="16.149999999999999" customHeight="1" x14ac:dyDescent="0.25">
      <c r="A6" s="107"/>
      <c r="B6" s="2" t="s">
        <v>196</v>
      </c>
      <c r="C6" s="51"/>
      <c r="D6" s="67"/>
      <c r="E6" s="51"/>
      <c r="F6" s="51"/>
      <c r="G6" s="51"/>
      <c r="H6" s="51"/>
    </row>
    <row r="7" spans="1:8" ht="16.149999999999999" customHeight="1" x14ac:dyDescent="0.3">
      <c r="A7" s="105" t="s">
        <v>129</v>
      </c>
      <c r="B7" s="5" t="s">
        <v>30</v>
      </c>
      <c r="C7" s="41">
        <f ca="1">SUMIF(Assumptions!$A$79:$C$103,$A7,Assumptions!$C$79:$C$103)</f>
        <v>7893509995</v>
      </c>
      <c r="D7" s="41">
        <f ca="1">C7-CashFlow!C28-CashFlow!C10</f>
        <v>3602744995</v>
      </c>
      <c r="E7" s="41">
        <f ca="1">D7-CashFlow!D28-CashFlow!D10</f>
        <v>3321899370</v>
      </c>
      <c r="F7" s="41">
        <f ca="1">E7-CashFlow!E28-CashFlow!E10</f>
        <v>3041053745</v>
      </c>
      <c r="G7" s="41">
        <f ca="1">F7-CashFlow!F28-CashFlow!F10</f>
        <v>2760208120</v>
      </c>
      <c r="H7" s="41">
        <f ca="1">G7-CashFlow!G28-CashFlow!G10</f>
        <v>2479362495</v>
      </c>
    </row>
    <row r="8" spans="1:8" ht="16.149999999999999" hidden="1" customHeight="1" x14ac:dyDescent="0.3">
      <c r="A8" s="105" t="s">
        <v>130</v>
      </c>
      <c r="B8" s="5" t="s">
        <v>175</v>
      </c>
      <c r="C8" s="41">
        <f ca="1">SUMIF(Assumptions!$A$79:$C$103,$A8,Assumptions!$C$79:$C$103)</f>
        <v>0</v>
      </c>
      <c r="D8" s="41">
        <f ca="1">C8-CashFlow!C29-CashFlow!C11</f>
        <v>0</v>
      </c>
      <c r="E8" s="41">
        <f ca="1">D8-CashFlow!D29-CashFlow!D11</f>
        <v>0</v>
      </c>
      <c r="F8" s="41">
        <f ca="1">E8-CashFlow!E29-CashFlow!E11</f>
        <v>0</v>
      </c>
      <c r="G8" s="41">
        <f ca="1">F8-CashFlow!F29-CashFlow!F11</f>
        <v>0</v>
      </c>
      <c r="H8" s="41">
        <f ca="1">G8-CashFlow!G29-CashFlow!G11</f>
        <v>0</v>
      </c>
    </row>
    <row r="9" spans="1:8" ht="16.149999999999999" hidden="1" customHeight="1" x14ac:dyDescent="0.3">
      <c r="A9" s="105" t="s">
        <v>131</v>
      </c>
      <c r="B9" s="5" t="s">
        <v>176</v>
      </c>
      <c r="C9" s="41">
        <f ca="1">SUMIF(Assumptions!$A$79:$C$103,$A9,Assumptions!$C$79:$C$103)</f>
        <v>0</v>
      </c>
      <c r="D9" s="41">
        <f ca="1">C9-CashFlow!C30</f>
        <v>0</v>
      </c>
      <c r="E9" s="41">
        <f ca="1">D9-CashFlow!D30</f>
        <v>0</v>
      </c>
      <c r="F9" s="41">
        <f ca="1">E9-CashFlow!E30</f>
        <v>0</v>
      </c>
      <c r="G9" s="41">
        <f ca="1">F9-CashFlow!F30</f>
        <v>0</v>
      </c>
      <c r="H9" s="41">
        <f ca="1">G9-CashFlow!G30</f>
        <v>0</v>
      </c>
    </row>
    <row r="10" spans="1:8" ht="16.149999999999999" customHeight="1" thickBot="1" x14ac:dyDescent="0.35">
      <c r="A10" s="105"/>
      <c r="C10" s="68">
        <f ca="1">SUM(C7:C9)</f>
        <v>7893509995</v>
      </c>
      <c r="D10" s="68">
        <f t="shared" ref="D10:H10" ca="1" si="0">SUM(D7:D9)</f>
        <v>3602744995</v>
      </c>
      <c r="E10" s="68">
        <f t="shared" ca="1" si="0"/>
        <v>3321899370</v>
      </c>
      <c r="F10" s="68">
        <f t="shared" ca="1" si="0"/>
        <v>3041053745</v>
      </c>
      <c r="G10" s="68">
        <f t="shared" ca="1" si="0"/>
        <v>2760208120</v>
      </c>
      <c r="H10" s="68">
        <f t="shared" ca="1" si="0"/>
        <v>2479362495</v>
      </c>
    </row>
    <row r="11" spans="1:8" s="2" customFormat="1" ht="16.149999999999999" customHeight="1" x14ac:dyDescent="0.25">
      <c r="A11" s="107"/>
      <c r="B11" s="2" t="s">
        <v>16</v>
      </c>
      <c r="C11" s="51"/>
      <c r="D11" s="51"/>
      <c r="E11" s="51"/>
      <c r="F11" s="51"/>
      <c r="G11" s="51"/>
      <c r="H11" s="51"/>
    </row>
    <row r="12" spans="1:8" ht="16.149999999999999" customHeight="1" x14ac:dyDescent="0.3">
      <c r="A12" s="105" t="s">
        <v>188</v>
      </c>
      <c r="B12" s="5" t="s">
        <v>6</v>
      </c>
      <c r="C12" s="41">
        <f ca="1">SUMIF(Assumptions!$A$79:$C$103,$A12,Assumptions!$C$79:$C$103)</f>
        <v>0</v>
      </c>
      <c r="D12" s="41">
        <f ca="1">D54/D$43*D53</f>
        <v>1972303428.3879449</v>
      </c>
      <c r="E12" s="41">
        <f ca="1">E54/E$43*E53</f>
        <v>2059084779.2370148</v>
      </c>
      <c r="F12" s="41">
        <f ca="1">F54/F$43*F53</f>
        <v>2217735573.7028179</v>
      </c>
      <c r="G12" s="41">
        <f ca="1">G54/G$43*G53</f>
        <v>2360307581.5623636</v>
      </c>
      <c r="H12" s="41">
        <f ca="1">H54/H$43*H53</f>
        <v>2549132188.0873528</v>
      </c>
    </row>
    <row r="13" spans="1:8" ht="16.149999999999999" customHeight="1" x14ac:dyDescent="0.3">
      <c r="A13" s="105" t="s">
        <v>189</v>
      </c>
      <c r="B13" s="5" t="s">
        <v>177</v>
      </c>
      <c r="C13" s="41">
        <f ca="1">SUMIF(Assumptions!$A$79:$C$103,$A13,Assumptions!$C$79:$C$103)</f>
        <v>0</v>
      </c>
      <c r="D13" s="41">
        <f ca="1">D56/D$43*D55</f>
        <v>3232386174.3024654</v>
      </c>
      <c r="E13" s="41">
        <f ca="1">E56/E$43*E55</f>
        <v>3490977068.2466626</v>
      </c>
      <c r="F13" s="41">
        <f ca="1">F56/F$43*F55</f>
        <v>3759953989.8984551</v>
      </c>
      <c r="G13" s="41">
        <f ca="1">G56/G$43*G55</f>
        <v>4071875652.4029083</v>
      </c>
      <c r="H13" s="41">
        <f ca="1">H56/H$43*H55</f>
        <v>4397625704.5951414</v>
      </c>
    </row>
    <row r="14" spans="1:8" ht="16.149999999999999" hidden="1" customHeight="1" x14ac:dyDescent="0.3">
      <c r="A14" s="105" t="s">
        <v>125</v>
      </c>
      <c r="B14" s="5" t="s">
        <v>115</v>
      </c>
      <c r="C14" s="41">
        <f ca="1">SUMIF(Assumptions!$A$79:$C$103,$A14,Assumptions!$C$79:$C$103)</f>
        <v>0</v>
      </c>
      <c r="D14" s="41">
        <f ca="1">C14-CashFlow!C16</f>
        <v>0</v>
      </c>
      <c r="E14" s="41">
        <f ca="1">D14-CashFlow!D16</f>
        <v>0</v>
      </c>
      <c r="F14" s="41">
        <f ca="1">E14-CashFlow!E16</f>
        <v>0</v>
      </c>
      <c r="G14" s="41">
        <f ca="1">F14-CashFlow!F16</f>
        <v>0</v>
      </c>
      <c r="H14" s="41">
        <f ca="1">G14-CashFlow!G16</f>
        <v>0</v>
      </c>
    </row>
    <row r="15" spans="1:8" ht="16.149999999999999" hidden="1" customHeight="1" x14ac:dyDescent="0.3">
      <c r="A15" s="105" t="s">
        <v>126</v>
      </c>
      <c r="B15" s="5" t="s">
        <v>116</v>
      </c>
      <c r="C15" s="41">
        <f ca="1">SUMIF(Assumptions!$A$79:$C$103,$A15,Assumptions!$C$79:$C$103)</f>
        <v>0</v>
      </c>
      <c r="D15" s="41">
        <f ca="1">C15-CashFlow!C17</f>
        <v>0</v>
      </c>
      <c r="E15" s="41">
        <f ca="1">D15-CashFlow!D17</f>
        <v>0</v>
      </c>
      <c r="F15" s="41">
        <f ca="1">E15-CashFlow!E17</f>
        <v>0</v>
      </c>
      <c r="G15" s="41">
        <f ca="1">F15-CashFlow!F17</f>
        <v>0</v>
      </c>
      <c r="H15" s="41">
        <f ca="1">G15-CashFlow!G17</f>
        <v>0</v>
      </c>
    </row>
    <row r="16" spans="1:8" ht="16.149999999999999" customHeight="1" x14ac:dyDescent="0.3">
      <c r="A16" s="105" t="s">
        <v>190</v>
      </c>
      <c r="B16" s="5" t="s">
        <v>178</v>
      </c>
      <c r="C16" s="41">
        <f ca="1">SUMIF(Assumptions!$A$79:$C$103,$A16,Assumptions!$C$79:$C$103)</f>
        <v>603749999.99999988</v>
      </c>
      <c r="D16" s="41">
        <f ca="1">IF(CashFlow!C46&gt;=0,CashFlow!C46,0)</f>
        <v>12597811502.588955</v>
      </c>
      <c r="E16" s="41">
        <f ca="1">IF(CashFlow!D46&gt;=0,CashFlow!D46,0)</f>
        <v>21502991133.471992</v>
      </c>
      <c r="F16" s="41">
        <f ca="1">IF(CashFlow!E46&gt;=0,CashFlow!E46,0)</f>
        <v>31000355858.274494</v>
      </c>
      <c r="G16" s="41">
        <f ca="1">IF(CashFlow!F46&gt;=0,CashFlow!F46,0)</f>
        <v>41715887950.969841</v>
      </c>
      <c r="H16" s="41">
        <f ca="1">IF(CashFlow!G46&gt;=0,CashFlow!G46,0)</f>
        <v>53199053643.642204</v>
      </c>
    </row>
    <row r="17" spans="1:8" ht="16.149999999999999" customHeight="1" thickBot="1" x14ac:dyDescent="0.35">
      <c r="A17" s="105"/>
      <c r="C17" s="68">
        <f ca="1">SUM(C12:C16)</f>
        <v>603749999.99999988</v>
      </c>
      <c r="D17" s="68">
        <f t="shared" ref="D17:H17" ca="1" si="1">SUM(D12:D16)</f>
        <v>17802501105.279366</v>
      </c>
      <c r="E17" s="68">
        <f t="shared" ca="1" si="1"/>
        <v>27053052980.955669</v>
      </c>
      <c r="F17" s="68">
        <f t="shared" ca="1" si="1"/>
        <v>36978045421.875763</v>
      </c>
      <c r="G17" s="68">
        <f t="shared" ca="1" si="1"/>
        <v>48148071184.935112</v>
      </c>
      <c r="H17" s="68">
        <f t="shared" ca="1" si="1"/>
        <v>60145811536.324699</v>
      </c>
    </row>
    <row r="18" spans="1:8" s="2" customFormat="1" ht="16.149999999999999" customHeight="1" thickBot="1" x14ac:dyDescent="0.3">
      <c r="A18" s="114"/>
      <c r="B18" s="2" t="s">
        <v>197</v>
      </c>
      <c r="C18" s="69">
        <f ca="1">SUM(C10,C17)</f>
        <v>8497259995</v>
      </c>
      <c r="D18" s="69">
        <f t="shared" ref="D18:H18" ca="1" si="2">SUM(D10,D17)</f>
        <v>21405246100.279366</v>
      </c>
      <c r="E18" s="69">
        <f t="shared" ca="1" si="2"/>
        <v>30374952350.955669</v>
      </c>
      <c r="F18" s="69">
        <f t="shared" ca="1" si="2"/>
        <v>40019099166.875763</v>
      </c>
      <c r="G18" s="69">
        <f t="shared" ca="1" si="2"/>
        <v>50908279304.935112</v>
      </c>
      <c r="H18" s="69">
        <f t="shared" ca="1" si="2"/>
        <v>62625174031.324699</v>
      </c>
    </row>
    <row r="19" spans="1:8" s="2" customFormat="1" ht="16.149999999999999" customHeight="1" thickTop="1" x14ac:dyDescent="0.25">
      <c r="A19" s="114"/>
      <c r="B19" s="2" t="s">
        <v>198</v>
      </c>
      <c r="C19" s="51"/>
      <c r="D19" s="51"/>
      <c r="E19" s="51"/>
      <c r="F19" s="51"/>
      <c r="G19" s="51"/>
      <c r="H19" s="51"/>
    </row>
    <row r="20" spans="1:8" s="2" customFormat="1" ht="16.149999999999999" customHeight="1" x14ac:dyDescent="0.25">
      <c r="A20" s="114"/>
      <c r="B20" s="2" t="s">
        <v>199</v>
      </c>
      <c r="C20" s="51"/>
      <c r="D20" s="51"/>
      <c r="E20" s="51"/>
      <c r="F20" s="51"/>
      <c r="G20" s="51"/>
      <c r="H20" s="51"/>
    </row>
    <row r="21" spans="1:8" ht="16.149999999999999" customHeight="1" x14ac:dyDescent="0.3">
      <c r="A21" s="104" t="s">
        <v>132</v>
      </c>
      <c r="B21" s="5" t="s">
        <v>43</v>
      </c>
      <c r="C21" s="41">
        <f ca="1">-SUMIF(Assumptions!$A$79:$C$103,$A21,Assumptions!$C$79:$C$103)</f>
        <v>1299451999</v>
      </c>
      <c r="D21" s="41">
        <f ca="1">C21+CashFlow!C33</f>
        <v>1299451999</v>
      </c>
      <c r="E21" s="41">
        <f ca="1">D21+CashFlow!D33</f>
        <v>1299451999</v>
      </c>
      <c r="F21" s="41">
        <f ca="1">E21+CashFlow!E33</f>
        <v>1299451999</v>
      </c>
      <c r="G21" s="41">
        <f ca="1">F21+CashFlow!F33</f>
        <v>1299451999</v>
      </c>
      <c r="H21" s="41">
        <f ca="1">G21+CashFlow!G33</f>
        <v>1299451999</v>
      </c>
    </row>
    <row r="22" spans="1:8" ht="16.149999999999999" hidden="1" customHeight="1" x14ac:dyDescent="0.3">
      <c r="A22" s="104" t="s">
        <v>124</v>
      </c>
      <c r="B22" s="5" t="s">
        <v>114</v>
      </c>
      <c r="C22" s="41">
        <f ca="1">-SUMIF(Assumptions!$A$79:$C$103,$A22,Assumptions!$C$79:$C$103)</f>
        <v>0</v>
      </c>
      <c r="D22" s="41">
        <f ca="1">C22+CashFlow!C12</f>
        <v>0</v>
      </c>
      <c r="E22" s="41">
        <f ca="1">D22+CashFlow!D12</f>
        <v>0</v>
      </c>
      <c r="F22" s="41">
        <f ca="1">E22+CashFlow!E12</f>
        <v>0</v>
      </c>
      <c r="G22" s="41">
        <f ca="1">F22+CashFlow!F12</f>
        <v>0</v>
      </c>
      <c r="H22" s="41">
        <f ca="1">G22+CashFlow!G12</f>
        <v>0</v>
      </c>
    </row>
    <row r="23" spans="1:8" ht="16.149999999999999" customHeight="1" x14ac:dyDescent="0.3">
      <c r="A23" s="104" t="s">
        <v>191</v>
      </c>
      <c r="B23" s="5" t="s">
        <v>17</v>
      </c>
      <c r="C23" s="41">
        <f ca="1">-SUMIF(Assumptions!$A$79:$C$103,$A23,Assumptions!$C$79:$C$103)</f>
        <v>0</v>
      </c>
      <c r="D23" s="41">
        <f ca="1">C23+IncState!C38</f>
        <v>7415511159.7682371</v>
      </c>
      <c r="E23" s="41">
        <f ca="1">D23+IncState!D38</f>
        <v>15804020730.458902</v>
      </c>
      <c r="F23" s="41">
        <f ca="1">E23+IncState!E38</f>
        <v>24934528080.243057</v>
      </c>
      <c r="G23" s="41">
        <f ca="1">F23+IncState!F38</f>
        <v>35146214761.028976</v>
      </c>
      <c r="H23" s="41">
        <f ca="1">G23+IncState!G38</f>
        <v>46248257935.818832</v>
      </c>
    </row>
    <row r="24" spans="1:8" ht="16.149999999999999" customHeight="1" thickBot="1" x14ac:dyDescent="0.35">
      <c r="A24" s="105"/>
      <c r="C24" s="68">
        <f ca="1">SUM(C21:C23)</f>
        <v>1299451999</v>
      </c>
      <c r="D24" s="68">
        <f t="shared" ref="D24:H24" ca="1" si="3">SUM(D21:D23)</f>
        <v>8714963158.7682381</v>
      </c>
      <c r="E24" s="68">
        <f t="shared" ca="1" si="3"/>
        <v>17103472729.458902</v>
      </c>
      <c r="F24" s="68">
        <f t="shared" ca="1" si="3"/>
        <v>26233980079.243057</v>
      </c>
      <c r="G24" s="68">
        <f t="shared" ca="1" si="3"/>
        <v>36445666760.028976</v>
      </c>
      <c r="H24" s="68">
        <f t="shared" ca="1" si="3"/>
        <v>47547709934.818832</v>
      </c>
    </row>
    <row r="25" spans="1:8" s="2" customFormat="1" ht="16.149999999999999" customHeight="1" x14ac:dyDescent="0.25">
      <c r="A25" s="107"/>
      <c r="B25" s="2" t="s">
        <v>200</v>
      </c>
      <c r="C25" s="51"/>
      <c r="D25" s="51"/>
      <c r="E25" s="51"/>
      <c r="F25" s="51"/>
      <c r="G25" s="51"/>
      <c r="H25" s="51"/>
    </row>
    <row r="26" spans="1:8" s="71" customFormat="1" ht="16.149999999999999" customHeight="1" x14ac:dyDescent="0.3">
      <c r="A26" s="104" t="s">
        <v>133</v>
      </c>
      <c r="B26" s="5" t="s">
        <v>179</v>
      </c>
      <c r="C26" s="70">
        <f ca="1">-SUMIF(Assumptions!$A$79:$C$103,$A26,Assumptions!$C$79:$C$103)</f>
        <v>7197807996</v>
      </c>
      <c r="D26" s="70">
        <f ca="1">ROUND(C26+CashFlow!C39+CashFlow!C35,2)</f>
        <v>7196844645.6599998</v>
      </c>
      <c r="E26" s="70">
        <f ca="1">ROUND(D26+CashFlow!D39+CashFlow!D35,2)</f>
        <v>7195765693.2799997</v>
      </c>
      <c r="F26" s="70">
        <f ca="1">ROUND(E26+CashFlow!E39+CashFlow!E35,2)</f>
        <v>7194557266.6199999</v>
      </c>
      <c r="G26" s="70">
        <f ca="1">ROUND(F26+CashFlow!F39+CashFlow!F35,2)</f>
        <v>7193203828.7600002</v>
      </c>
      <c r="H26" s="70">
        <f ca="1">ROUND(G26+CashFlow!G39+CashFlow!G35,2)</f>
        <v>7191687978.3500004</v>
      </c>
    </row>
    <row r="27" spans="1:8" s="71" customFormat="1" ht="16.149999999999999" hidden="1" customHeight="1" x14ac:dyDescent="0.3">
      <c r="A27" s="104" t="s">
        <v>135</v>
      </c>
      <c r="B27" s="5" t="s">
        <v>180</v>
      </c>
      <c r="C27" s="70">
        <f ca="1">-SUMIF(Assumptions!$A$79:$C$103,$A27,Assumptions!$C$79:$C$103)</f>
        <v>0</v>
      </c>
      <c r="D27" s="70">
        <f ca="1">ROUND(C27+CashFlow!C40+CashFlow!C36,2)</f>
        <v>0</v>
      </c>
      <c r="E27" s="70">
        <f ca="1">ROUND(D27+CashFlow!D40+CashFlow!D36,2)</f>
        <v>0</v>
      </c>
      <c r="F27" s="70">
        <f ca="1">ROUND(E27+CashFlow!E40+CashFlow!E36,2)</f>
        <v>0</v>
      </c>
      <c r="G27" s="70">
        <f ca="1">ROUND(F27+CashFlow!F40+CashFlow!F36,2)</f>
        <v>0</v>
      </c>
      <c r="H27" s="70">
        <f ca="1">ROUND(G27+CashFlow!G40+CashFlow!G36,2)</f>
        <v>0</v>
      </c>
    </row>
    <row r="28" spans="1:8" s="71" customFormat="1" ht="16.149999999999999" hidden="1" customHeight="1" x14ac:dyDescent="0.3">
      <c r="A28" s="104" t="s">
        <v>137</v>
      </c>
      <c r="B28" s="5" t="s">
        <v>181</v>
      </c>
      <c r="C28" s="70">
        <f ca="1">-SUMIF(Assumptions!$A$79:$C$103,$A28,Assumptions!$C$79:$C$103)</f>
        <v>0</v>
      </c>
      <c r="D28" s="70">
        <f ca="1">ROUND(C28+CashFlow!C41+CashFlow!C37,2)</f>
        <v>0</v>
      </c>
      <c r="E28" s="70">
        <f ca="1">ROUND(D28+CashFlow!D41+CashFlow!D37,2)</f>
        <v>0</v>
      </c>
      <c r="F28" s="70">
        <f ca="1">ROUND(E28+CashFlow!E41+CashFlow!E37,2)</f>
        <v>0</v>
      </c>
      <c r="G28" s="70">
        <f ca="1">ROUND(F28+CashFlow!F41+CashFlow!F37,2)</f>
        <v>0</v>
      </c>
      <c r="H28" s="70">
        <f ca="1">ROUND(G28+CashFlow!G41+CashFlow!G37,2)</f>
        <v>0</v>
      </c>
    </row>
    <row r="29" spans="1:8" s="71" customFormat="1" ht="16.149999999999999" hidden="1" customHeight="1" x14ac:dyDescent="0.3">
      <c r="A29" s="104" t="s">
        <v>139</v>
      </c>
      <c r="B29" s="5" t="s">
        <v>182</v>
      </c>
      <c r="C29" s="70">
        <f ca="1">-SUMIF(Assumptions!$A$79:$C$103,$A29,Assumptions!$C$79:$C$103)</f>
        <v>0</v>
      </c>
      <c r="D29" s="70">
        <f ca="1">ROUND(C29+CashFlow!C42+CashFlow!C38,2)</f>
        <v>0</v>
      </c>
      <c r="E29" s="70">
        <f ca="1">ROUND(D29+CashFlow!D42+CashFlow!D38,2)</f>
        <v>0</v>
      </c>
      <c r="F29" s="70">
        <f ca="1">ROUND(E29+CashFlow!E42+CashFlow!E38,2)</f>
        <v>0</v>
      </c>
      <c r="G29" s="70">
        <f ca="1">ROUND(F29+CashFlow!F42+CashFlow!F38,2)</f>
        <v>0</v>
      </c>
      <c r="H29" s="70">
        <f ca="1">ROUND(G29+CashFlow!G42+CashFlow!G38,2)</f>
        <v>0</v>
      </c>
    </row>
    <row r="30" spans="1:8" s="71" customFormat="1" ht="16.149999999999999" customHeight="1" thickBot="1" x14ac:dyDescent="0.35">
      <c r="A30" s="104"/>
      <c r="B30" s="5"/>
      <c r="C30" s="72">
        <f ca="1">SUM(C26:C29)</f>
        <v>7197807996</v>
      </c>
      <c r="D30" s="72">
        <f t="shared" ref="D30:H30" ca="1" si="4">SUM(D26:D29)</f>
        <v>7196844645.6599998</v>
      </c>
      <c r="E30" s="72">
        <f t="shared" ca="1" si="4"/>
        <v>7195765693.2799997</v>
      </c>
      <c r="F30" s="72">
        <f t="shared" ca="1" si="4"/>
        <v>7194557266.6199999</v>
      </c>
      <c r="G30" s="72">
        <f t="shared" ca="1" si="4"/>
        <v>7193203828.7600002</v>
      </c>
      <c r="H30" s="72">
        <f t="shared" ca="1" si="4"/>
        <v>7191687978.3500004</v>
      </c>
    </row>
    <row r="31" spans="1:8" s="2" customFormat="1" ht="16.149999999999999" customHeight="1" x14ac:dyDescent="0.25">
      <c r="A31" s="114"/>
      <c r="B31" s="2" t="s">
        <v>18</v>
      </c>
      <c r="C31" s="51"/>
      <c r="D31" s="51"/>
      <c r="E31" s="51"/>
      <c r="F31" s="51"/>
      <c r="G31" s="51"/>
      <c r="H31" s="51"/>
    </row>
    <row r="32" spans="1:8" ht="16.149999999999999" hidden="1" customHeight="1" x14ac:dyDescent="0.3">
      <c r="A32" s="105" t="s">
        <v>192</v>
      </c>
      <c r="B32" s="5" t="s">
        <v>183</v>
      </c>
      <c r="C32" s="41">
        <f ca="1">-SUMIF(Assumptions!$A$79:$C$103,$A32,Assumptions!$C$79:$C$103)</f>
        <v>0</v>
      </c>
      <c r="D32" s="41">
        <f ca="1">IF(CashFlow!C46&lt;0,-CashFlow!C46,0)</f>
        <v>0</v>
      </c>
      <c r="E32" s="41">
        <f ca="1">IF(CashFlow!D46&lt;0,-CashFlow!D46,0)</f>
        <v>0</v>
      </c>
      <c r="F32" s="41">
        <f ca="1">IF(CashFlow!E46&lt;0,-CashFlow!E46,0)</f>
        <v>0</v>
      </c>
      <c r="G32" s="41">
        <f ca="1">IF(CashFlow!F46&lt;0,-CashFlow!F46,0)</f>
        <v>0</v>
      </c>
      <c r="H32" s="41">
        <f ca="1">IF(CashFlow!G46&lt;0,-CashFlow!G46,0)</f>
        <v>0</v>
      </c>
    </row>
    <row r="33" spans="1:8" ht="16.149999999999999" customHeight="1" x14ac:dyDescent="0.3">
      <c r="A33" s="105" t="s">
        <v>193</v>
      </c>
      <c r="B33" s="5" t="s">
        <v>184</v>
      </c>
      <c r="C33" s="41">
        <f ca="1">-SUMIF(Assumptions!$A$79:$C$103,$A33,Assumptions!$C$79:$C$103)</f>
        <v>0</v>
      </c>
      <c r="D33" s="41">
        <f ca="1">D58/D$43*D57</f>
        <v>1602070211.2746432</v>
      </c>
      <c r="E33" s="41">
        <f ca="1">E58/E$43*E57</f>
        <v>1673369698.1324787</v>
      </c>
      <c r="F33" s="41">
        <f ca="1">F58/F$43*F57</f>
        <v>1801233261.5656319</v>
      </c>
      <c r="G33" s="41">
        <f ca="1">G58/G$43*G57</f>
        <v>1916951199.3961546</v>
      </c>
      <c r="H33" s="41">
        <f ca="1">H58/H$43*H57</f>
        <v>2069103777.3098383</v>
      </c>
    </row>
    <row r="34" spans="1:8" ht="16.149999999999999" customHeight="1" x14ac:dyDescent="0.3">
      <c r="A34" s="105" t="s">
        <v>194</v>
      </c>
      <c r="B34" s="5" t="s">
        <v>147</v>
      </c>
      <c r="C34" s="41">
        <f ca="1">-SUMIF(Assumptions!$A$79:$C$103,$A34,Assumptions!$C$79:$C$103)</f>
        <v>0</v>
      </c>
      <c r="D34" s="73">
        <f ca="1">SUM(D62,-D63)/12*D61</f>
        <v>228242247.31847993</v>
      </c>
      <c r="E34" s="73">
        <f t="shared" ref="E34:H34" ca="1" si="5">SUM(E62,-E63)/12*E61</f>
        <v>259694087.35784158</v>
      </c>
      <c r="F34" s="73">
        <f t="shared" ca="1" si="5"/>
        <v>280718106.67960578</v>
      </c>
      <c r="G34" s="73">
        <f t="shared" ca="1" si="5"/>
        <v>310996082.23859292</v>
      </c>
      <c r="H34" s="73">
        <f t="shared" ca="1" si="5"/>
        <v>336154974.80319285</v>
      </c>
    </row>
    <row r="35" spans="1:8" ht="16.149999999999999" customHeight="1" x14ac:dyDescent="0.3">
      <c r="A35" s="105" t="s">
        <v>97</v>
      </c>
      <c r="B35" s="5" t="s">
        <v>185</v>
      </c>
      <c r="C35" s="41">
        <f ca="1">-SUMIF(Assumptions!$A$79:$C$103,$A35,Assumptions!$C$79:$C$103)</f>
        <v>0</v>
      </c>
      <c r="D35" s="41">
        <f ca="1">D72/12*D71</f>
        <v>15713476.575000001</v>
      </c>
      <c r="E35" s="41">
        <f t="shared" ref="E35:H35" ca="1" si="6">E72/12*E71</f>
        <v>16656285.169500003</v>
      </c>
      <c r="F35" s="41">
        <f t="shared" ca="1" si="6"/>
        <v>17655662.279670004</v>
      </c>
      <c r="G35" s="41">
        <f t="shared" ca="1" si="6"/>
        <v>18715002.016450204</v>
      </c>
      <c r="H35" s="41">
        <f t="shared" ca="1" si="6"/>
        <v>19837902.137437217</v>
      </c>
    </row>
    <row r="36" spans="1:8" ht="16.149999999999999" hidden="1" customHeight="1" x14ac:dyDescent="0.3">
      <c r="A36" s="105" t="s">
        <v>127</v>
      </c>
      <c r="B36" s="5" t="s">
        <v>117</v>
      </c>
      <c r="C36" s="41">
        <f ca="1">-SUMIF(Assumptions!$A$79:$C$103,$A36,Assumptions!$C$79:$C$103)</f>
        <v>0</v>
      </c>
      <c r="D36" s="41">
        <f ca="1">C36+CashFlow!C21</f>
        <v>0</v>
      </c>
      <c r="E36" s="41">
        <f ca="1">D36+CashFlow!D21</f>
        <v>0</v>
      </c>
      <c r="F36" s="41">
        <f ca="1">E36+CashFlow!E21</f>
        <v>0</v>
      </c>
      <c r="G36" s="41">
        <f ca="1">F36+CashFlow!F21</f>
        <v>0</v>
      </c>
      <c r="H36" s="41">
        <f ca="1">G36+CashFlow!G21</f>
        <v>0</v>
      </c>
    </row>
    <row r="37" spans="1:8" ht="16.149999999999999" customHeight="1" x14ac:dyDescent="0.3">
      <c r="A37" s="105" t="s">
        <v>111</v>
      </c>
      <c r="B37" s="5" t="s">
        <v>187</v>
      </c>
      <c r="C37" s="41">
        <f ca="1">-SUMIF(Assumptions!$A$79:$C$103,$A37,Assumptions!$C$79:$C$103)</f>
        <v>0</v>
      </c>
      <c r="D37" s="41">
        <f ca="1">D67/12*D66</f>
        <v>1676200533.4015</v>
      </c>
      <c r="E37" s="41">
        <f t="shared" ref="E37:H37" ca="1" si="7">E67/12*E66</f>
        <v>1896136883.0675101</v>
      </c>
      <c r="F37" s="41">
        <f t="shared" ca="1" si="7"/>
        <v>2063857900.0416257</v>
      </c>
      <c r="G37" s="41">
        <f t="shared" ca="1" si="7"/>
        <v>2308247441.4073052</v>
      </c>
      <c r="H37" s="41">
        <f t="shared" ca="1" si="7"/>
        <v>2509503430.1062059</v>
      </c>
    </row>
    <row r="38" spans="1:8" ht="16.149999999999999" hidden="1" customHeight="1" x14ac:dyDescent="0.3">
      <c r="A38" s="105" t="s">
        <v>215</v>
      </c>
      <c r="B38" s="5" t="s">
        <v>221</v>
      </c>
      <c r="C38" s="41">
        <f ca="1">-SUMIF(Assumptions!$A$79:$C$103,$A38,Assumptions!$C$79:$C$103)</f>
        <v>0</v>
      </c>
      <c r="D38" s="41">
        <f ca="1">D80</f>
        <v>1971211827.2801638</v>
      </c>
      <c r="E38" s="41">
        <f t="shared" ref="E38:H38" ca="1" si="8">E80</f>
        <v>2229856974.4873915</v>
      </c>
      <c r="F38" s="41">
        <f t="shared" ca="1" si="8"/>
        <v>2427096890.4489527</v>
      </c>
      <c r="G38" s="41">
        <f t="shared" ca="1" si="8"/>
        <v>2714498991.0949926</v>
      </c>
      <c r="H38" s="41">
        <f t="shared" ca="1" si="8"/>
        <v>2951176033.8048973</v>
      </c>
    </row>
    <row r="39" spans="1:8" ht="16.149999999999999" hidden="1" customHeight="1" x14ac:dyDescent="0.3">
      <c r="A39" s="105" t="s">
        <v>128</v>
      </c>
      <c r="B39" s="5" t="s">
        <v>118</v>
      </c>
      <c r="C39" s="41">
        <f ca="1">-SUMIF(Assumptions!$A$79:$C$103,$A39,Assumptions!$C$79:$C$103)</f>
        <v>0</v>
      </c>
      <c r="D39" s="41">
        <f ca="1">C39+CashFlow!C22</f>
        <v>0</v>
      </c>
      <c r="E39" s="41">
        <f ca="1">D39+CashFlow!D22</f>
        <v>0</v>
      </c>
      <c r="F39" s="41">
        <f ca="1">E39+CashFlow!E22</f>
        <v>0</v>
      </c>
      <c r="G39" s="41">
        <f ca="1">F39+CashFlow!F22</f>
        <v>0</v>
      </c>
      <c r="H39" s="41">
        <f ca="1">G39+CashFlow!G22</f>
        <v>0</v>
      </c>
    </row>
    <row r="40" spans="1:8" ht="16.149999999999999" customHeight="1" thickBot="1" x14ac:dyDescent="0.35">
      <c r="A40" s="105"/>
      <c r="C40" s="68">
        <f ca="1">SUM(C32:C39)</f>
        <v>0</v>
      </c>
      <c r="D40" s="68">
        <f t="shared" ref="D40:H40" ca="1" si="9">SUM(D32:D39)</f>
        <v>5493438295.8497868</v>
      </c>
      <c r="E40" s="68">
        <f t="shared" ca="1" si="9"/>
        <v>6075713928.2147217</v>
      </c>
      <c r="F40" s="68">
        <f t="shared" ca="1" si="9"/>
        <v>6590561821.0154858</v>
      </c>
      <c r="G40" s="68">
        <f t="shared" ca="1" si="9"/>
        <v>7269408716.1534958</v>
      </c>
      <c r="H40" s="68">
        <f t="shared" ca="1" si="9"/>
        <v>7885776118.1615715</v>
      </c>
    </row>
    <row r="41" spans="1:8" s="2" customFormat="1" ht="16.149999999999999" customHeight="1" thickBot="1" x14ac:dyDescent="0.3">
      <c r="A41" s="114"/>
      <c r="B41" s="2" t="s">
        <v>201</v>
      </c>
      <c r="C41" s="69">
        <f ca="1">SUM(C24,C30,C40)</f>
        <v>8497259995</v>
      </c>
      <c r="D41" s="69">
        <f t="shared" ref="D41:H41" ca="1" si="10">SUM(D24,D30,D40)</f>
        <v>21405246100.278023</v>
      </c>
      <c r="E41" s="69">
        <f t="shared" ca="1" si="10"/>
        <v>30374952350.953625</v>
      </c>
      <c r="F41" s="69">
        <f t="shared" ca="1" si="10"/>
        <v>40019099166.87854</v>
      </c>
      <c r="G41" s="69">
        <f t="shared" ca="1" si="10"/>
        <v>50908279304.942474</v>
      </c>
      <c r="H41" s="69">
        <f t="shared" ca="1" si="10"/>
        <v>62625174031.330399</v>
      </c>
    </row>
    <row r="42" spans="1:8" s="22" customFormat="1" ht="16.149999999999999" customHeight="1" thickTop="1" x14ac:dyDescent="0.3">
      <c r="A42" s="121"/>
      <c r="C42" s="74" t="str">
        <f ca="1">IF(ROUND(C18-C41,0)&lt;&gt;0,ROUND(C18-C41,0),"")</f>
        <v/>
      </c>
      <c r="D42" s="74" t="str">
        <f t="shared" ref="D42:H42" ca="1" si="11">IF(ROUND(D18-D41,0)&lt;&gt;0,ROUND(D18-D41,0),"")</f>
        <v/>
      </c>
      <c r="E42" s="74" t="str">
        <f t="shared" ca="1" si="11"/>
        <v/>
      </c>
      <c r="F42" s="74" t="str">
        <f t="shared" ca="1" si="11"/>
        <v/>
      </c>
      <c r="G42" s="74" t="str">
        <f t="shared" ca="1" si="11"/>
        <v/>
      </c>
      <c r="H42" s="74" t="str">
        <f t="shared" ca="1" si="11"/>
        <v/>
      </c>
    </row>
    <row r="43" spans="1:8" s="6" customFormat="1" ht="16.149999999999999" hidden="1" customHeight="1" x14ac:dyDescent="0.25">
      <c r="A43" s="122"/>
      <c r="B43" s="6" t="s">
        <v>213</v>
      </c>
      <c r="C43" s="75"/>
      <c r="D43" s="76">
        <f>DATE(YEAR(D$4),MONTH(D$4)+1,0)-DATE(YEAR(C$4),MONTH(C$4)+1,0)</f>
        <v>365</v>
      </c>
      <c r="E43" s="76">
        <f t="shared" ref="E43:H43" si="12">DATE(YEAR(E$4),MONTH(E$4)+1,0)-DATE(YEAR(D$4),MONTH(D$4)+1,0)</f>
        <v>365</v>
      </c>
      <c r="F43" s="76">
        <f t="shared" si="12"/>
        <v>366</v>
      </c>
      <c r="G43" s="76">
        <f t="shared" si="12"/>
        <v>365</v>
      </c>
      <c r="H43" s="76">
        <f t="shared" si="12"/>
        <v>365</v>
      </c>
    </row>
    <row r="44" spans="1:8" ht="16.149999999999999" hidden="1" customHeight="1" x14ac:dyDescent="0.3">
      <c r="A44" s="123"/>
    </row>
    <row r="45" spans="1:8" s="77" customFormat="1" ht="16.149999999999999" hidden="1" customHeight="1" x14ac:dyDescent="0.25">
      <c r="A45" s="119"/>
      <c r="B45" s="77" t="s">
        <v>32</v>
      </c>
      <c r="C45" s="78"/>
      <c r="D45" s="78">
        <f ca="1">IF(D$40=0,0,D$17/D$40)</f>
        <v>3.2406846398418452</v>
      </c>
      <c r="E45" s="78">
        <f t="shared" ref="E45:H45" ca="1" si="13">IF(E$40=0,0,E$17/E$40)</f>
        <v>4.4526541737466063</v>
      </c>
      <c r="F45" s="78">
        <f t="shared" ca="1" si="13"/>
        <v>5.610757690484439</v>
      </c>
      <c r="G45" s="78">
        <f t="shared" ca="1" si="13"/>
        <v>6.6233820472832043</v>
      </c>
      <c r="H45" s="78">
        <f t="shared" ca="1" si="13"/>
        <v>7.627126440706844</v>
      </c>
    </row>
    <row r="46" spans="1:8" s="77" customFormat="1" ht="16.149999999999999" hidden="1" customHeight="1" x14ac:dyDescent="0.25">
      <c r="A46" s="119"/>
      <c r="B46" s="77" t="s">
        <v>33</v>
      </c>
      <c r="C46" s="78"/>
      <c r="D46" s="78">
        <f ca="1">IF(D$40=0,0,(D$17-D$12)/D$40)</f>
        <v>2.8816556816249133</v>
      </c>
      <c r="E46" s="78">
        <f t="shared" ref="E46:H46" ca="1" si="14">IF(E$40=0,0,(E$17-E$12)/E$40)</f>
        <v>4.1137500048595674</v>
      </c>
      <c r="F46" s="78">
        <f t="shared" ca="1" si="14"/>
        <v>5.2742559423889919</v>
      </c>
      <c r="G46" s="78">
        <f t="shared" ca="1" si="14"/>
        <v>6.2986915980699862</v>
      </c>
      <c r="H46" s="78">
        <f t="shared" ca="1" si="14"/>
        <v>7.3038694587825796</v>
      </c>
    </row>
    <row r="47" spans="1:8" s="77" customFormat="1" ht="16.149999999999999" hidden="1" customHeight="1" x14ac:dyDescent="0.25">
      <c r="A47" s="119"/>
      <c r="B47" s="77" t="s">
        <v>12</v>
      </c>
      <c r="C47" s="78"/>
      <c r="D47" s="78">
        <f ca="1">IF(D$54=0,0,D$12/D$54*D$43)</f>
        <v>30</v>
      </c>
      <c r="E47" s="78">
        <f t="shared" ref="E47:H47" ca="1" si="15">IF(E$54=0,0,E$12/E$54*E$43)</f>
        <v>30.000000000000004</v>
      </c>
      <c r="F47" s="78">
        <f t="shared" ca="1" si="15"/>
        <v>30.000000000000004</v>
      </c>
      <c r="G47" s="78">
        <f t="shared" ca="1" si="15"/>
        <v>30</v>
      </c>
      <c r="H47" s="78">
        <f t="shared" ca="1" si="15"/>
        <v>30</v>
      </c>
    </row>
    <row r="48" spans="1:8" s="77" customFormat="1" ht="16.149999999999999" hidden="1" customHeight="1" x14ac:dyDescent="0.25">
      <c r="A48" s="119"/>
      <c r="B48" s="77" t="s">
        <v>10</v>
      </c>
      <c r="C48" s="78"/>
      <c r="D48" s="78">
        <f ca="1">IF(D$56=0,0,D$13/D$56*D$43)</f>
        <v>25</v>
      </c>
      <c r="E48" s="78">
        <f t="shared" ref="E48:H48" ca="1" si="16">IF(E$56=0,0,E$13/E$56*E$43)</f>
        <v>25</v>
      </c>
      <c r="F48" s="78">
        <f t="shared" ca="1" si="16"/>
        <v>25.000000000000004</v>
      </c>
      <c r="G48" s="78">
        <f t="shared" ca="1" si="16"/>
        <v>25.000000000000004</v>
      </c>
      <c r="H48" s="78">
        <f t="shared" ca="1" si="16"/>
        <v>25.000000000000004</v>
      </c>
    </row>
    <row r="49" spans="1:8" s="77" customFormat="1" ht="16.149999999999999" hidden="1" customHeight="1" x14ac:dyDescent="0.25">
      <c r="A49" s="119"/>
      <c r="B49" s="77" t="s">
        <v>11</v>
      </c>
      <c r="C49" s="78"/>
      <c r="D49" s="78">
        <f ca="1">IF(D$58=0,0,D$33/D$58*D$43)</f>
        <v>20</v>
      </c>
      <c r="E49" s="78">
        <f t="shared" ref="E49:H49" ca="1" si="17">IF(E$58=0,0,E$33/E$58*E$43)</f>
        <v>20</v>
      </c>
      <c r="F49" s="78">
        <f t="shared" ca="1" si="17"/>
        <v>20.000000000000004</v>
      </c>
      <c r="G49" s="78">
        <f t="shared" ca="1" si="17"/>
        <v>20</v>
      </c>
      <c r="H49" s="78">
        <f t="shared" ca="1" si="17"/>
        <v>20</v>
      </c>
    </row>
    <row r="50" spans="1:8" s="77" customFormat="1" ht="16.149999999999999" hidden="1" customHeight="1" x14ac:dyDescent="0.25">
      <c r="A50" s="119"/>
      <c r="B50" s="77" t="s">
        <v>34</v>
      </c>
      <c r="C50" s="78"/>
      <c r="D50" s="78">
        <f ca="1">IF(D$24=0,0,D$30/D$24)</f>
        <v>0.82580322079952351</v>
      </c>
      <c r="E50" s="78">
        <f t="shared" ref="E50:H50" ca="1" si="18">IF(E$24=0,0,E$30/E$24)</f>
        <v>0.42071957006053295</v>
      </c>
      <c r="F50" s="78">
        <f t="shared" ca="1" si="18"/>
        <v>0.27424573949084086</v>
      </c>
      <c r="G50" s="78">
        <f t="shared" ca="1" si="18"/>
        <v>0.19736787575111661</v>
      </c>
      <c r="H50" s="78">
        <f t="shared" ca="1" si="18"/>
        <v>0.15125203691636852</v>
      </c>
    </row>
    <row r="51" spans="1:8" s="6" customFormat="1" ht="16.149999999999999" hidden="1" customHeight="1" x14ac:dyDescent="0.25">
      <c r="A51" s="119"/>
      <c r="B51" s="7"/>
      <c r="C51" s="75"/>
      <c r="D51" s="45"/>
      <c r="E51" s="45"/>
      <c r="F51" s="45"/>
      <c r="G51" s="45"/>
      <c r="H51" s="45"/>
    </row>
    <row r="52" spans="1:8" s="55" customFormat="1" ht="16.149999999999999" hidden="1" customHeight="1" x14ac:dyDescent="0.25">
      <c r="A52" s="124"/>
      <c r="B52" s="79" t="s">
        <v>202</v>
      </c>
    </row>
    <row r="53" spans="1:8" s="55" customFormat="1" ht="16.149999999999999" hidden="1" customHeight="1" x14ac:dyDescent="0.25">
      <c r="A53" s="124"/>
      <c r="B53" s="79" t="s">
        <v>12</v>
      </c>
      <c r="C53" s="55">
        <f>Assumptions!$C$50</f>
        <v>30</v>
      </c>
      <c r="D53" s="55">
        <f>Assumptions!$C$50</f>
        <v>30</v>
      </c>
      <c r="E53" s="55">
        <f>Assumptions!$C$50</f>
        <v>30</v>
      </c>
      <c r="F53" s="55">
        <f>Assumptions!$C$50</f>
        <v>30</v>
      </c>
      <c r="G53" s="55">
        <f>Assumptions!$C$50</f>
        <v>30</v>
      </c>
      <c r="H53" s="55">
        <f>Assumptions!$C$50</f>
        <v>30</v>
      </c>
    </row>
    <row r="54" spans="1:8" s="55" customFormat="1" ht="16.149999999999999" hidden="1" customHeight="1" x14ac:dyDescent="0.25">
      <c r="A54" s="124"/>
      <c r="B54" s="79" t="s">
        <v>207</v>
      </c>
      <c r="D54" s="75">
        <f ca="1">IncState!C10</f>
        <v>23996358378.719997</v>
      </c>
      <c r="E54" s="75">
        <f ca="1">IncState!D10</f>
        <v>25052198147.383678</v>
      </c>
      <c r="F54" s="75">
        <f ca="1">IncState!E10</f>
        <v>27056373999.174377</v>
      </c>
      <c r="G54" s="75">
        <f ca="1">IncState!F10</f>
        <v>28717075575.675426</v>
      </c>
      <c r="H54" s="75">
        <f ca="1">IncState!G10</f>
        <v>31014441621.729462</v>
      </c>
    </row>
    <row r="55" spans="1:8" s="55" customFormat="1" ht="16.149999999999999" hidden="1" customHeight="1" x14ac:dyDescent="0.25">
      <c r="A55" s="124"/>
      <c r="B55" s="79" t="s">
        <v>10</v>
      </c>
      <c r="C55" s="55">
        <f>Assumptions!$C$51</f>
        <v>25</v>
      </c>
      <c r="D55" s="55">
        <f>Assumptions!$C$51</f>
        <v>25</v>
      </c>
      <c r="E55" s="55">
        <f>Assumptions!$C$51</f>
        <v>25</v>
      </c>
      <c r="F55" s="55">
        <f>Assumptions!$C$51</f>
        <v>25</v>
      </c>
      <c r="G55" s="55">
        <f>Assumptions!$C$51</f>
        <v>25</v>
      </c>
      <c r="H55" s="55">
        <f>Assumptions!$C$51</f>
        <v>25</v>
      </c>
    </row>
    <row r="56" spans="1:8" s="55" customFormat="1" ht="16.149999999999999" hidden="1" customHeight="1" x14ac:dyDescent="0.25">
      <c r="A56" s="124"/>
      <c r="B56" s="79" t="s">
        <v>208</v>
      </c>
      <c r="D56" s="75">
        <f ca="1">(SUMIF(IncState!$A$4:$AO$7,"V1C1*",IncState!C$4:C$7)*(1+Assumptions!$C$60))+(SUMIF(IncState!$A$4:$AO$7,"V2C1*",IncState!C$4:C$7)*(1+Assumptions!$C$61))+(SUMIF(IncState!$A$4:$AO$7,"V3C1*",IncState!C$4:C$7)*(1+Assumptions!$C$62))+(SUMIF(IncState!$A$4:$AO$7,"V4C1*",IncState!C$4:C$7)*(1+Assumptions!$C$63))</f>
        <v>47192838144.815994</v>
      </c>
      <c r="E56" s="75">
        <f ca="1">(SUMIF(IncState!$A$4:$AO$7,"V1C1*",IncState!D$4:D$7)*(1+Assumptions!$C$60))+(SUMIF(IncState!$A$4:$AO$7,"V2C1*",IncState!D$4:D$7)*(1+Assumptions!$C$61))+(SUMIF(IncState!$A$4:$AO$7,"V3C1*",IncState!D$4:D$7)*(1+Assumptions!$C$62))+(SUMIF(IncState!$A$4:$AO$7,"V4C1*",IncState!D$4:D$7)*(1+Assumptions!$C$63))</f>
        <v>50968265196.401276</v>
      </c>
      <c r="F56" s="75">
        <f ca="1">(SUMIF(IncState!$A$4:$AO$7,"V1C1*",IncState!E$4:E$7)*(1+Assumptions!$C$60))+(SUMIF(IncState!$A$4:$AO$7,"V2C1*",IncState!E$4:E$7)*(1+Assumptions!$C$61))+(SUMIF(IncState!$A$4:$AO$7,"V3C1*",IncState!E$4:E$7)*(1+Assumptions!$C$62))+(SUMIF(IncState!$A$4:$AO$7,"V4C1*",IncState!E$4:E$7)*(1+Assumptions!$C$63))</f>
        <v>55045726412.11338</v>
      </c>
      <c r="G56" s="75">
        <f ca="1">(SUMIF(IncState!$A$4:$AO$7,"V1C1*",IncState!F$4:F$7)*(1+Assumptions!$C$60))+(SUMIF(IncState!$A$4:$AO$7,"V2C1*",IncState!F$4:F$7)*(1+Assumptions!$C$61))+(SUMIF(IncState!$A$4:$AO$7,"V3C1*",IncState!F$4:F$7)*(1+Assumptions!$C$62))+(SUMIF(IncState!$A$4:$AO$7,"V4C1*",IncState!F$4:F$7)*(1+Assumptions!$C$63))</f>
        <v>59449384525.082458</v>
      </c>
      <c r="H56" s="75">
        <f ca="1">(SUMIF(IncState!$A$4:$AO$7,"V1C1*",IncState!G$4:G$7)*(1+Assumptions!$C$60))+(SUMIF(IncState!$A$4:$AO$7,"V2C1*",IncState!G$4:G$7)*(1+Assumptions!$C$61))+(SUMIF(IncState!$A$4:$AO$7,"V3C1*",IncState!G$4:G$7)*(1+Assumptions!$C$62))+(SUMIF(IncState!$A$4:$AO$7,"V4C1*",IncState!G$4:G$7)*(1+Assumptions!$C$63))</f>
        <v>64205335287.089058</v>
      </c>
    </row>
    <row r="57" spans="1:8" s="55" customFormat="1" ht="16.149999999999999" hidden="1" customHeight="1" x14ac:dyDescent="0.25">
      <c r="A57" s="124"/>
      <c r="B57" s="79" t="s">
        <v>11</v>
      </c>
      <c r="C57" s="55">
        <f>Assumptions!$C$52</f>
        <v>20</v>
      </c>
      <c r="D57" s="55">
        <f>Assumptions!$C$52</f>
        <v>20</v>
      </c>
      <c r="E57" s="55">
        <f>Assumptions!$C$52</f>
        <v>20</v>
      </c>
      <c r="F57" s="55">
        <f>Assumptions!$C$52</f>
        <v>20</v>
      </c>
      <c r="G57" s="55">
        <f>Assumptions!$C$52</f>
        <v>20</v>
      </c>
      <c r="H57" s="55">
        <f>Assumptions!$C$52</f>
        <v>20</v>
      </c>
    </row>
    <row r="58" spans="1:8" s="55" customFormat="1" ht="16.149999999999999" hidden="1" customHeight="1" x14ac:dyDescent="0.25">
      <c r="A58" s="125"/>
      <c r="B58" s="79" t="s">
        <v>209</v>
      </c>
      <c r="D58" s="75">
        <f ca="1">((SUMIF(IncState!$A$7:$AO$36,"*V1C1*",IncState!C$7:C$36)-SUMIF(CashFlow!$A$27:$AO$31,"*V1C1*",CashFlow!C$27:C$31))*(1+Assumptions!$C$60))+((SUMIF(IncState!$A$7:$AO$36,"*V2C1*",IncState!C$7:C$36)-SUMIF(CashFlow!$A$27:$AO$31,"*V2C1*",CashFlow!C$27:C$31))*(1+Assumptions!$C$61))+((SUMIF(IncState!$A$7:$AO$36,"*V3C1*",IncState!C$7:C$36)-SUMIF(CashFlow!$A$27:$AO$31,"*V3C1*",CashFlow!C$27:C$31))*(1+Assumptions!$C$62))+((SUMIF(IncState!$A$7:$AO$36,"*V4C1*",IncState!C$7:C$36)-SUMIF(CashFlow!$A$27:$AO$31,"*V4C1*",CashFlow!C$27:C$31))*(1+Assumptions!$C$63))</f>
        <v>29237781355.762238</v>
      </c>
      <c r="E58" s="75">
        <f ca="1">((SUMIF(IncState!$A$7:$AO$36,"*V1C1*",IncState!D$7:D$36)-SUMIF(CashFlow!$A$27:$AO$31,"*V1C1*",CashFlow!D$27:D$31))*(1+Assumptions!$C$60))+((SUMIF(IncState!$A$7:$AO$36,"*V2C1*",IncState!D$7:D$36)-SUMIF(CashFlow!$A$27:$AO$31,"*V2C1*",CashFlow!D$27:D$31))*(1+Assumptions!$C$61))+((SUMIF(IncState!$A$7:$AO$36,"*V3C1*",IncState!D$7:D$36)-SUMIF(CashFlow!$A$27:$AO$31,"*V3C1*",CashFlow!D$27:D$31))*(1+Assumptions!$C$62))+((SUMIF(IncState!$A$7:$AO$36,"*V4C1*",IncState!D$7:D$36)-SUMIF(CashFlow!$A$27:$AO$31,"*V4C1*",CashFlow!D$27:D$31))*(1+Assumptions!$C$63))</f>
        <v>30538996990.917736</v>
      </c>
      <c r="F58" s="75">
        <f ca="1">((SUMIF(IncState!$A$7:$AO$36,"*V1C1*",IncState!E$7:E$36)-SUMIF(CashFlow!$A$27:$AO$31,"*V1C1*",CashFlow!E$27:E$31))*(1+Assumptions!$C$60))+((SUMIF(IncState!$A$7:$AO$36,"*V2C1*",IncState!E$7:E$36)-SUMIF(CashFlow!$A$27:$AO$31,"*V2C1*",CashFlow!E$27:E$31))*(1+Assumptions!$C$61))+((SUMIF(IncState!$A$7:$AO$36,"*V3C1*",IncState!E$7:E$36)-SUMIF(CashFlow!$A$27:$AO$31,"*V3C1*",CashFlow!E$27:E$31))*(1+Assumptions!$C$62))+((SUMIF(IncState!$A$7:$AO$36,"*V4C1*",IncState!E$7:E$36)-SUMIF(CashFlow!$A$27:$AO$31,"*V4C1*",CashFlow!E$27:E$31))*(1+Assumptions!$C$63))</f>
        <v>32962568686.651062</v>
      </c>
      <c r="G58" s="75">
        <f ca="1">((SUMIF(IncState!$A$7:$AO$36,"*V1C1*",IncState!F$7:F$36)-SUMIF(CashFlow!$A$27:$AO$31,"*V1C1*",CashFlow!F$27:F$31))*(1+Assumptions!$C$60))+((SUMIF(IncState!$A$7:$AO$36,"*V2C1*",IncState!F$7:F$36)-SUMIF(CashFlow!$A$27:$AO$31,"*V2C1*",CashFlow!F$27:F$31))*(1+Assumptions!$C$61))+((SUMIF(IncState!$A$7:$AO$36,"*V3C1*",IncState!F$7:F$36)-SUMIF(CashFlow!$A$27:$AO$31,"*V3C1*",CashFlow!F$27:F$31))*(1+Assumptions!$C$62))+((SUMIF(IncState!$A$7:$AO$36,"*V4C1*",IncState!F$7:F$36)-SUMIF(CashFlow!$A$27:$AO$31,"*V4C1*",CashFlow!F$27:F$31))*(1+Assumptions!$C$63))</f>
        <v>34984359388.97982</v>
      </c>
      <c r="H58" s="75">
        <f ca="1">((SUMIF(IncState!$A$7:$AO$36,"*V1C1*",IncState!G$7:G$36)-SUMIF(CashFlow!$A$27:$AO$31,"*V1C1*",CashFlow!G$27:G$31))*(1+Assumptions!$C$60))+((SUMIF(IncState!$A$7:$AO$36,"*V2C1*",IncState!G$7:G$36)-SUMIF(CashFlow!$A$27:$AO$31,"*V2C1*",CashFlow!G$27:G$31))*(1+Assumptions!$C$61))+((SUMIF(IncState!$A$7:$AO$36,"*V3C1*",IncState!G$7:G$36)-SUMIF(CashFlow!$A$27:$AO$31,"*V3C1*",CashFlow!G$27:G$31))*(1+Assumptions!$C$62))+((SUMIF(IncState!$A$7:$AO$36,"*V4C1*",IncState!G$7:G$36)-SUMIF(CashFlow!$A$27:$AO$31,"*V4C1*",CashFlow!G$27:G$31))*(1+Assumptions!$C$63))</f>
        <v>37761143935.904549</v>
      </c>
    </row>
    <row r="59" spans="1:8" s="55" customFormat="1" ht="16.149999999999999" hidden="1" customHeight="1" x14ac:dyDescent="0.25">
      <c r="A59" s="124"/>
      <c r="B59" s="79" t="s">
        <v>203</v>
      </c>
    </row>
    <row r="60" spans="1:8" s="55" customFormat="1" ht="16.149999999999999" hidden="1" customHeight="1" x14ac:dyDescent="0.25">
      <c r="A60" s="124"/>
      <c r="B60" s="79" t="s">
        <v>204</v>
      </c>
      <c r="C60" s="13" t="str">
        <f>IF(OR(MONTH(C$4)=Assumptions!$C$65,((MONTH(C$4)-Assumptions!$C$65)/MAX(Assumptions!$C$64,1))-ROUND((MONTH(C$4)-Assumptions!$C$65)/MAX(Assumptions!$C$64,1),0)=0),"Yes","No")</f>
        <v>Yes</v>
      </c>
      <c r="D60" s="13" t="str">
        <f>IF(OR(MONTH(D$4)=Assumptions!$C$65,((MONTH(D$4)-Assumptions!$C$65)/MAX(Assumptions!$C$64,1))-ROUND((MONTH(D$4)-Assumptions!$C$65)/MAX(Assumptions!$C$64,1),0)=0),"Yes","No")</f>
        <v>Yes</v>
      </c>
      <c r="E60" s="13" t="str">
        <f>IF(OR(MONTH(E$4)=Assumptions!$C$65,((MONTH(E$4)-Assumptions!$C$65)/MAX(Assumptions!$C$64,1))-ROUND((MONTH(E$4)-Assumptions!$C$65)/MAX(Assumptions!$C$64,1),0)=0),"Yes","No")</f>
        <v>Yes</v>
      </c>
      <c r="F60" s="13" t="str">
        <f>IF(OR(MONTH(F$4)=Assumptions!$C$65,((MONTH(F$4)-Assumptions!$C$65)/MAX(Assumptions!$C$64,1))-ROUND((MONTH(F$4)-Assumptions!$C$65)/MAX(Assumptions!$C$64,1),0)=0),"Yes","No")</f>
        <v>Yes</v>
      </c>
      <c r="G60" s="13" t="str">
        <f>IF(OR(MONTH(G$4)=Assumptions!$C$65,((MONTH(G$4)-Assumptions!$C$65)/MAX(Assumptions!$C$64,1))-ROUND((MONTH(G$4)-Assumptions!$C$65)/MAX(Assumptions!$C$64,1),0)=0),"Yes","No")</f>
        <v>Yes</v>
      </c>
      <c r="H60" s="13" t="str">
        <f>IF(OR(MONTH(H$4)=Assumptions!$C$65,((MONTH(H$4)-Assumptions!$C$65)/MAX(Assumptions!$C$64,1))-ROUND((MONTH(H$4)-Assumptions!$C$65)/MAX(Assumptions!$C$64,1),0)=0),"Yes","No")</f>
        <v>Yes</v>
      </c>
    </row>
    <row r="61" spans="1:8" s="55" customFormat="1" ht="16.149999999999999" hidden="1" customHeight="1" x14ac:dyDescent="0.25">
      <c r="A61" s="124"/>
      <c r="B61" s="79" t="s">
        <v>205</v>
      </c>
      <c r="C61" s="80">
        <f>IF((((MONTH(C$4)-Assumptions!$D$65)/MAX(Assumptions!$C$64,1))-ROUND((MONTH(C$4)-Assumptions!$D$65)/MAX(Assumptions!$C$64,1),0))*Assumptions!$C$64&lt;0,((((MONTH(C$4)-Assumptions!$D$65)/MAX(Assumptions!$C$64,1))-ROUND((MONTH(C$4)-Assumptions!$D$65)/MAX(Assumptions!$C$64,1),0))*Assumptions!$C$64)+Assumptions!$C$64+Assumptions!$D$66,((((MONTH(C$4)-Assumptions!$D$65)/MAX(Assumptions!$C$64,1))-ROUND((MONTH(C$4)-Assumptions!$D$65)/MAX(Assumptions!$C$64,1),0))*Assumptions!$C$64)+Assumptions!$D$66)</f>
        <v>1</v>
      </c>
      <c r="D61" s="80">
        <f>$C$61</f>
        <v>1</v>
      </c>
      <c r="E61" s="80">
        <f t="shared" ref="E61:H61" si="19">$C$61</f>
        <v>1</v>
      </c>
      <c r="F61" s="80">
        <f t="shared" si="19"/>
        <v>1</v>
      </c>
      <c r="G61" s="80">
        <f t="shared" si="19"/>
        <v>1</v>
      </c>
      <c r="H61" s="80">
        <f t="shared" si="19"/>
        <v>1</v>
      </c>
    </row>
    <row r="62" spans="1:8" s="55" customFormat="1" ht="16.149999999999999" hidden="1" customHeight="1" x14ac:dyDescent="0.25">
      <c r="A62" s="124"/>
      <c r="B62" s="79" t="s">
        <v>210</v>
      </c>
      <c r="C62" s="75">
        <f ca="1">IF(C$34&gt;0,C$34,0)</f>
        <v>0</v>
      </c>
      <c r="D62" s="75">
        <f ca="1">(SUMIF(IncState!$A$4:$AO$7,"V1*",IncState!C$4:C$7)*Assumptions!$C$60)+(SUMIF(IncState!$A$4:$AO$7,"V2*",IncState!C$4:C$7)*Assumptions!$C$61)+(SUMIF(IncState!$A$4:$AO$7,"V3*",IncState!C$4:C$7)*Assumptions!$C$62)+(SUMIF(IncState!$A$4:$AO$7,"V4*",IncState!C$4:C$7)*Assumptions!$C$63)</f>
        <v>7198907513.6159992</v>
      </c>
      <c r="E62" s="75">
        <f ca="1">(SUMIF(IncState!$A$4:$AO$7,"V1*",IncState!D$4:D$7)*Assumptions!$C$60)+(SUMIF(IncState!$A$4:$AO$7,"V2*",IncState!D$4:D$7)*Assumptions!$C$61)+(SUMIF(IncState!$A$4:$AO$7,"V3*",IncState!D$4:D$7)*Assumptions!$C$62)+(SUMIF(IncState!$A$4:$AO$7,"V4*",IncState!D$4:D$7)*Assumptions!$C$63)</f>
        <v>7774820114.7052794</v>
      </c>
      <c r="F62" s="75">
        <f ca="1">(SUMIF(IncState!$A$4:$AO$7,"V1*",IncState!E$4:E$7)*Assumptions!$C$60)+(SUMIF(IncState!$A$4:$AO$7,"V2*",IncState!E$4:E$7)*Assumptions!$C$61)+(SUMIF(IncState!$A$4:$AO$7,"V3*",IncState!E$4:E$7)*Assumptions!$C$62)+(SUMIF(IncState!$A$4:$AO$7,"V4*",IncState!E$4:E$7)*Assumptions!$C$63)</f>
        <v>8396805723.8817024</v>
      </c>
      <c r="G62" s="75">
        <f ca="1">(SUMIF(IncState!$A$4:$AO$7,"V1*",IncState!F$4:F$7)*Assumptions!$C$60)+(SUMIF(IncState!$A$4:$AO$7,"V2*",IncState!F$4:F$7)*Assumptions!$C$61)+(SUMIF(IncState!$A$4:$AO$7,"V3*",IncState!F$4:F$7)*Assumptions!$C$62)+(SUMIF(IncState!$A$4:$AO$7,"V4*",IncState!F$4:F$7)*Assumptions!$C$63)</f>
        <v>9068550181.7922401</v>
      </c>
      <c r="H62" s="75">
        <f ca="1">(SUMIF(IncState!$A$4:$AO$7,"V1*",IncState!G$4:G$7)*Assumptions!$C$60)+(SUMIF(IncState!$A$4:$AO$7,"V2*",IncState!G$4:G$7)*Assumptions!$C$61)+(SUMIF(IncState!$A$4:$AO$7,"V3*",IncState!G$4:G$7)*Assumptions!$C$62)+(SUMIF(IncState!$A$4:$AO$7,"V4*",IncState!G$4:G$7)*Assumptions!$C$63)</f>
        <v>9794034196.335619</v>
      </c>
    </row>
    <row r="63" spans="1:8" s="55" customFormat="1" ht="16.149999999999999" hidden="1" customHeight="1" x14ac:dyDescent="0.25">
      <c r="A63" s="124"/>
      <c r="B63" s="79" t="s">
        <v>211</v>
      </c>
      <c r="C63" s="75">
        <f ca="1">IF(C$34&lt;0,-C$34,0)</f>
        <v>0</v>
      </c>
      <c r="D63" s="75">
        <f ca="1">((SUMIF(IncState!$A$7:$AO$36,"*V1*",IncState!C$7:C$36)-SUMIF(CashFlow!$A$27:$AO$31,"*V1*",CashFlow!C$27:C$31))*Assumptions!$C$60)+((SUMIF(IncState!$A$7:$AO$36,"*V2*",IncState!C$7:C$36)-SUMIF(CashFlow!$A$27:$AO$31,"*V2*",CashFlow!C$27:C$31))*Assumptions!$C$61)+((SUMIF(IncState!$A$7:$AO$36,"*V3*",IncState!C$7:C$36)-SUMIF(CashFlow!$A$27:$AO$31,"*V3*",CashFlow!C$27:C$31))*Assumptions!$C$62)+((SUMIF(IncState!$A$7:$AO$36,"*V4*",IncState!C$7:C$36)-SUMIF(CashFlow!$A$27:$AO$31,"*V4*",CashFlow!C$27:C$31))*Assumptions!$C$63)</f>
        <v>4460000545.79424</v>
      </c>
      <c r="E63" s="75">
        <f ca="1">((SUMIF(IncState!$A$7:$AO$36,"*V1*",IncState!D$7:D$36)-SUMIF(CashFlow!$A$27:$AO$31,"*V1*",CashFlow!D$27:D$31))*Assumptions!$C$60)+((SUMIF(IncState!$A$7:$AO$36,"*V2*",IncState!D$7:D$36)-SUMIF(CashFlow!$A$27:$AO$31,"*V2*",CashFlow!D$27:D$31))*Assumptions!$C$61)+((SUMIF(IncState!$A$7:$AO$36,"*V3*",IncState!D$7:D$36)-SUMIF(CashFlow!$A$27:$AO$31,"*V3*",CashFlow!D$27:D$31))*Assumptions!$C$62)+((SUMIF(IncState!$A$7:$AO$36,"*V4*",IncState!D$7:D$36)-SUMIF(CashFlow!$A$27:$AO$31,"*V4*",CashFlow!D$27:D$31))*Assumptions!$C$63)</f>
        <v>4658491066.4111805</v>
      </c>
      <c r="F63" s="75">
        <f ca="1">((SUMIF(IncState!$A$7:$AO$36,"*V1*",IncState!E$7:E$36)-SUMIF(CashFlow!$A$27:$AO$31,"*V1*",CashFlow!E$27:E$31))*Assumptions!$C$60)+((SUMIF(IncState!$A$7:$AO$36,"*V2*",IncState!E$7:E$36)-SUMIF(CashFlow!$A$27:$AO$31,"*V2*",CashFlow!E$27:E$31))*Assumptions!$C$61)+((SUMIF(IncState!$A$7:$AO$36,"*V3*",IncState!E$7:E$36)-SUMIF(CashFlow!$A$27:$AO$31,"*V3*",CashFlow!E$27:E$31))*Assumptions!$C$62)+((SUMIF(IncState!$A$7:$AO$36,"*V4*",IncState!E$7:E$36)-SUMIF(CashFlow!$A$27:$AO$31,"*V4*",CashFlow!E$27:E$31))*Assumptions!$C$63)</f>
        <v>5028188443.7264328</v>
      </c>
      <c r="G63" s="75">
        <f ca="1">((SUMIF(IncState!$A$7:$AO$36,"*V1*",IncState!F$7:F$36)-SUMIF(CashFlow!$A$27:$AO$31,"*V1*",CashFlow!F$27:F$31))*Assumptions!$C$60)+((SUMIF(IncState!$A$7:$AO$36,"*V2*",IncState!F$7:F$36)-SUMIF(CashFlow!$A$27:$AO$31,"*V2*",CashFlow!F$27:F$31))*Assumptions!$C$61)+((SUMIF(IncState!$A$7:$AO$36,"*V3*",IncState!F$7:F$36)-SUMIF(CashFlow!$A$27:$AO$31,"*V3*",CashFlow!F$27:F$31))*Assumptions!$C$62)+((SUMIF(IncState!$A$7:$AO$36,"*V4*",IncState!F$7:F$36)-SUMIF(CashFlow!$A$27:$AO$31,"*V4*",CashFlow!F$27:F$31))*Assumptions!$C$63)</f>
        <v>5336597194.9291248</v>
      </c>
      <c r="H63" s="75">
        <f ca="1">((SUMIF(IncState!$A$7:$AO$36,"*V1*",IncState!G$7:G$36)-SUMIF(CashFlow!$A$27:$AO$31,"*V1*",CashFlow!G$27:G$31))*Assumptions!$C$60)+((SUMIF(IncState!$A$7:$AO$36,"*V2*",IncState!G$7:G$36)-SUMIF(CashFlow!$A$27:$AO$31,"*V2*",CashFlow!G$27:G$31))*Assumptions!$C$61)+((SUMIF(IncState!$A$7:$AO$36,"*V3*",IncState!G$7:G$36)-SUMIF(CashFlow!$A$27:$AO$31,"*V3*",CashFlow!G$27:G$31))*Assumptions!$C$62)+((SUMIF(IncState!$A$7:$AO$36,"*V4*",IncState!G$7:G$36)-SUMIF(CashFlow!$A$27:$AO$31,"*V4*",CashFlow!G$27:G$31))*Assumptions!$C$63)</f>
        <v>5760174498.6973047</v>
      </c>
    </row>
    <row r="64" spans="1:8" s="55" customFormat="1" ht="16.149999999999999" hidden="1" customHeight="1" x14ac:dyDescent="0.25">
      <c r="A64" s="124"/>
      <c r="B64" s="79" t="s">
        <v>206</v>
      </c>
    </row>
    <row r="65" spans="1:8" s="55" customFormat="1" ht="16.149999999999999" hidden="1" customHeight="1" x14ac:dyDescent="0.25">
      <c r="A65" s="124"/>
      <c r="B65" s="79" t="s">
        <v>204</v>
      </c>
      <c r="C65" s="13" t="str">
        <f>IF(OR(MONTH(C$4)=Assumptions!$C$71,((MONTH(C$4)-Assumptions!$C$71)/MAX(Assumptions!$C$70,1))-ROUND((MONTH(C$4)-Assumptions!$C$71)/MAX(Assumptions!$C$70,1),0)=0),"Yes","No")</f>
        <v>No</v>
      </c>
      <c r="D65" s="13" t="str">
        <f>IF(OR(MONTH(D$4)=Assumptions!$C$71,((MONTH(D$4)-Assumptions!$C$71)/MAX(Assumptions!$C$70,1))-ROUND((MONTH(D$4)-Assumptions!$C$71)/MAX(Assumptions!$C$70,1),0)=0),"Yes","No")</f>
        <v>No</v>
      </c>
      <c r="E65" s="13" t="str">
        <f>IF(OR(MONTH(E$4)=Assumptions!$C$71,((MONTH(E$4)-Assumptions!$C$71)/MAX(Assumptions!$C$70,1))-ROUND((MONTH(E$4)-Assumptions!$C$71)/MAX(Assumptions!$C$70,1),0)=0),"Yes","No")</f>
        <v>No</v>
      </c>
      <c r="F65" s="13" t="str">
        <f>IF(OR(MONTH(F$4)=Assumptions!$C$71,((MONTH(F$4)-Assumptions!$C$71)/MAX(Assumptions!$C$70,1))-ROUND((MONTH(F$4)-Assumptions!$C$71)/MAX(Assumptions!$C$70,1),0)=0),"Yes","No")</f>
        <v>No</v>
      </c>
      <c r="G65" s="13" t="str">
        <f>IF(OR(MONTH(G$4)=Assumptions!$C$71,((MONTH(G$4)-Assumptions!$C$71)/MAX(Assumptions!$C$70,1))-ROUND((MONTH(G$4)-Assumptions!$C$71)/MAX(Assumptions!$C$70,1),0)=0),"Yes","No")</f>
        <v>No</v>
      </c>
      <c r="H65" s="13" t="str">
        <f>IF(OR(MONTH(H$4)=Assumptions!$C$71,((MONTH(H$4)-Assumptions!$C$71)/MAX(Assumptions!$C$70,1))-ROUND((MONTH(H$4)-Assumptions!$C$71)/MAX(Assumptions!$C$70,1),0)=0),"Yes","No")</f>
        <v>No</v>
      </c>
    </row>
    <row r="66" spans="1:8" s="55" customFormat="1" ht="16.149999999999999" hidden="1" customHeight="1" x14ac:dyDescent="0.25">
      <c r="A66" s="124"/>
      <c r="B66" s="79" t="s">
        <v>205</v>
      </c>
      <c r="C66" s="80">
        <f>IF((((MONTH(C$4)-Assumptions!$D$71)/MAX(Assumptions!$C$70,1))-ROUND((MONTH(C$4)-Assumptions!$D$71)/MAX(Assumptions!$C$70,1),0))*Assumptions!$C$70&lt;0,((((MONTH(C$4)-Assumptions!$D$71)/MAX(Assumptions!$C$70,1))-ROUND((MONTH(C$4)-Assumptions!$D$71)/MAX(Assumptions!$C$70,1),0))*Assumptions!$C$70)+Assumptions!$C$70+Assumptions!$D$72,((((MONTH(C$4)-Assumptions!$D$71)/MAX(Assumptions!$C$70,1))-ROUND((MONTH(C$4)-Assumptions!$D$71)/MAX(Assumptions!$C$70,1),0))*Assumptions!$C$70)+Assumptions!$D$72)</f>
        <v>5</v>
      </c>
      <c r="D66" s="80">
        <f>$C$66</f>
        <v>5</v>
      </c>
      <c r="E66" s="80">
        <f t="shared" ref="E66:H66" si="20">$C$66</f>
        <v>5</v>
      </c>
      <c r="F66" s="80">
        <f t="shared" si="20"/>
        <v>5</v>
      </c>
      <c r="G66" s="80">
        <f t="shared" si="20"/>
        <v>5</v>
      </c>
      <c r="H66" s="80">
        <f t="shared" si="20"/>
        <v>5</v>
      </c>
    </row>
    <row r="67" spans="1:8" s="55" customFormat="1" ht="16.149999999999999" hidden="1" customHeight="1" x14ac:dyDescent="0.25">
      <c r="A67" s="124"/>
      <c r="B67" s="79" t="s">
        <v>212</v>
      </c>
      <c r="C67" s="55">
        <f ca="1">C37</f>
        <v>0</v>
      </c>
      <c r="D67" s="75">
        <f ca="1">IncState!C35</f>
        <v>4022881280.1636</v>
      </c>
      <c r="E67" s="75">
        <f ca="1">IncState!D35</f>
        <v>4550728519.3620243</v>
      </c>
      <c r="F67" s="75">
        <f ca="1">IncState!E35</f>
        <v>4953258960.0999022</v>
      </c>
      <c r="G67" s="75">
        <f ca="1">IncState!F35</f>
        <v>5539793859.377533</v>
      </c>
      <c r="H67" s="75">
        <f ca="1">IncState!G35</f>
        <v>6022808232.2548943</v>
      </c>
    </row>
    <row r="68" spans="1:8" s="55" customFormat="1" ht="16.149999999999999" hidden="1" customHeight="1" x14ac:dyDescent="0.25">
      <c r="A68" s="124"/>
      <c r="B68" s="79" t="s">
        <v>141</v>
      </c>
    </row>
    <row r="69" spans="1:8" s="55" customFormat="1" ht="16.149999999999999" hidden="1" customHeight="1" x14ac:dyDescent="0.25">
      <c r="A69" s="124"/>
      <c r="B69" s="79" t="s">
        <v>142</v>
      </c>
      <c r="C69" s="81">
        <f>Assumptions!$C$54</f>
        <v>0.2</v>
      </c>
      <c r="D69" s="81">
        <f>Assumptions!$C$54</f>
        <v>0.2</v>
      </c>
      <c r="E69" s="81">
        <f>Assumptions!$C$54</f>
        <v>0.2</v>
      </c>
      <c r="F69" s="81">
        <f>Assumptions!$C$54</f>
        <v>0.2</v>
      </c>
      <c r="G69" s="81">
        <f>Assumptions!$C$54</f>
        <v>0.2</v>
      </c>
      <c r="H69" s="81">
        <f>Assumptions!$C$54</f>
        <v>0.2</v>
      </c>
    </row>
    <row r="70" spans="1:8" s="55" customFormat="1" ht="16.149999999999999" hidden="1" customHeight="1" x14ac:dyDescent="0.25">
      <c r="A70" s="124"/>
      <c r="B70" s="79" t="s">
        <v>204</v>
      </c>
      <c r="C70" s="13" t="str">
        <f>IF(OR(MONTH(C$4)=Assumptions!$C$56,((MONTH(C$4)-Assumptions!$C$56)/MAX(Assumptions!$C$55,1))-ROUND((MONTH(C$4)-Assumptions!$C$56)/MAX(Assumptions!$C$55,1),0)=0),"Yes","No")</f>
        <v>Yes</v>
      </c>
      <c r="D70" s="13" t="str">
        <f>IF(OR(MONTH(D$4)=Assumptions!$C$56,((MONTH(D$4)-Assumptions!$C$56)/MAX(Assumptions!$C$55,1))-ROUND((MONTH(D$4)-Assumptions!$C$56)/MAX(Assumptions!$C$55,1),0)=0),"Yes","No")</f>
        <v>Yes</v>
      </c>
      <c r="E70" s="13" t="str">
        <f>IF(OR(MONTH(E$4)=Assumptions!$C$56,((MONTH(E$4)-Assumptions!$C$56)/MAX(Assumptions!$C$55,1))-ROUND((MONTH(E$4)-Assumptions!$C$56)/MAX(Assumptions!$C$55,1),0)=0),"Yes","No")</f>
        <v>Yes</v>
      </c>
      <c r="F70" s="13" t="str">
        <f>IF(OR(MONTH(F$4)=Assumptions!$C$56,((MONTH(F$4)-Assumptions!$C$56)/MAX(Assumptions!$C$55,1))-ROUND((MONTH(F$4)-Assumptions!$C$56)/MAX(Assumptions!$C$55,1),0)=0),"Yes","No")</f>
        <v>Yes</v>
      </c>
      <c r="G70" s="13" t="str">
        <f>IF(OR(MONTH(G$4)=Assumptions!$C$56,((MONTH(G$4)-Assumptions!$C$56)/MAX(Assumptions!$C$55,1))-ROUND((MONTH(G$4)-Assumptions!$C$56)/MAX(Assumptions!$C$55,1),0)=0),"Yes","No")</f>
        <v>Yes</v>
      </c>
      <c r="H70" s="13" t="str">
        <f>IF(OR(MONTH(H$4)=Assumptions!$C$56,((MONTH(H$4)-Assumptions!$C$56)/MAX(Assumptions!$C$55,1))-ROUND((MONTH(H$4)-Assumptions!$C$56)/MAX(Assumptions!$C$55,1),0)=0),"Yes","No")</f>
        <v>Yes</v>
      </c>
    </row>
    <row r="71" spans="1:8" s="55" customFormat="1" ht="16.149999999999999" hidden="1" customHeight="1" x14ac:dyDescent="0.25">
      <c r="A71" s="124"/>
      <c r="B71" s="79" t="s">
        <v>205</v>
      </c>
      <c r="C71" s="80">
        <f>IF((((MONTH(C$4)-Assumptions!$D$56)/MAX(Assumptions!$C$55,1))-ROUND((MONTH(C$4)-Assumptions!$D$56)/MAX(Assumptions!$C$55,1),0))*Assumptions!$C$55&lt;0,((((MONTH(C$4)-Assumptions!$D$56)/MAX(Assumptions!$C$55,1))-ROUND((MONTH(C$4)-Assumptions!$D$56)/MAX(Assumptions!$C$55,1),0))*Assumptions!$C$55)+Assumptions!$C$55+Assumptions!$D$57,((((MONTH(C$4)-Assumptions!$D$56)/MAX(Assumptions!$C$55,1))-ROUND((MONTH(C$4)-Assumptions!$D$56)/MAX(Assumptions!$C$55,1),0))*Assumptions!$C$55)+Assumptions!$D$57)</f>
        <v>1</v>
      </c>
      <c r="D71" s="80">
        <f>$C$71</f>
        <v>1</v>
      </c>
      <c r="E71" s="80">
        <f t="shared" ref="E71:H71" si="21">$C$71</f>
        <v>1</v>
      </c>
      <c r="F71" s="80">
        <f t="shared" si="21"/>
        <v>1</v>
      </c>
      <c r="G71" s="80">
        <f t="shared" si="21"/>
        <v>1</v>
      </c>
      <c r="H71" s="80">
        <f t="shared" si="21"/>
        <v>1</v>
      </c>
    </row>
    <row r="72" spans="1:8" s="55" customFormat="1" ht="16.149999999999999" hidden="1" customHeight="1" x14ac:dyDescent="0.25">
      <c r="A72" s="124"/>
      <c r="B72" s="79" t="s">
        <v>212</v>
      </c>
      <c r="C72" s="82">
        <f ca="1">C35</f>
        <v>0</v>
      </c>
      <c r="D72" s="75">
        <f ca="1">SUMIF(IncState!$A$4:$AO$36,"PAY",IncState!C$4:C$36)*D69</f>
        <v>188561718.90000001</v>
      </c>
      <c r="E72" s="75">
        <f ca="1">SUMIF(IncState!$A$4:$AO$36,"PAY",IncState!D$4:D$36)*E69</f>
        <v>199875422.03400004</v>
      </c>
      <c r="F72" s="75">
        <f ca="1">SUMIF(IncState!$A$4:$AO$36,"PAY",IncState!E$4:E$36)*F69</f>
        <v>211867947.35604003</v>
      </c>
      <c r="G72" s="75">
        <f ca="1">SUMIF(IncState!$A$4:$AO$36,"PAY",IncState!F$4:F$36)*G69</f>
        <v>224580024.19740245</v>
      </c>
      <c r="H72" s="75">
        <f ca="1">SUMIF(IncState!$A$4:$AO$36,"PAY",IncState!G$4:G$36)*H69</f>
        <v>238054825.6492466</v>
      </c>
    </row>
    <row r="73" spans="1:8" s="6" customFormat="1" ht="16.149999999999999" hidden="1" customHeight="1" x14ac:dyDescent="0.25">
      <c r="A73" s="119"/>
      <c r="B73" s="6" t="s">
        <v>222</v>
      </c>
      <c r="C73" s="75"/>
      <c r="D73" s="75"/>
      <c r="E73" s="75"/>
      <c r="F73" s="75"/>
      <c r="G73" s="75"/>
      <c r="H73" s="75"/>
    </row>
    <row r="74" spans="1:8" s="55" customFormat="1" ht="16.149999999999999" hidden="1" customHeight="1" x14ac:dyDescent="0.25">
      <c r="A74" s="124"/>
      <c r="B74" s="79" t="s">
        <v>218</v>
      </c>
      <c r="C74" s="81">
        <f>Assumptions!$C$104</f>
        <v>0.21</v>
      </c>
      <c r="D74" s="81">
        <f>Assumptions!$C$104</f>
        <v>0.21</v>
      </c>
      <c r="E74" s="81">
        <f>Assumptions!$C$104</f>
        <v>0.21</v>
      </c>
      <c r="F74" s="81">
        <f>Assumptions!$C$104</f>
        <v>0.21</v>
      </c>
      <c r="G74" s="81">
        <f>Assumptions!$C$104</f>
        <v>0.21</v>
      </c>
      <c r="H74" s="81">
        <f>Assumptions!$C$104</f>
        <v>0.21</v>
      </c>
    </row>
    <row r="75" spans="1:8" s="6" customFormat="1" ht="16.149999999999999" hidden="1" customHeight="1" x14ac:dyDescent="0.25">
      <c r="A75" s="119"/>
      <c r="B75" s="6" t="s">
        <v>223</v>
      </c>
      <c r="C75" s="12" t="str">
        <f>IF(OR(MONTH(C$4)=Assumptions!$D$106-Assumptions!$D$107,((MONTH(C$4)-Assumptions!$D$106+Assumptions!$D$107)/MAX(Assumptions!$C$105,1))-ROUND((MONTH(C$4)-Assumptions!$D$106+Assumptions!$D$107)/MAX(Assumptions!$C$105,1),0)=0),"Yes","No")</f>
        <v>No</v>
      </c>
      <c r="D75" s="12" t="str">
        <f>IF(OR(MONTH(D$4)=Assumptions!$D$106-Assumptions!$D$107,((MONTH(D$4)-Assumptions!$D$106+Assumptions!$D$107)/MAX(Assumptions!$C$105,1))-ROUND((MONTH(D$4)-Assumptions!$D$106+Assumptions!$D$107)/MAX(Assumptions!$C$105,1),0)=0),"Yes","No")</f>
        <v>No</v>
      </c>
      <c r="E75" s="12" t="str">
        <f>IF(OR(MONTH(E$4)=Assumptions!$D$106-Assumptions!$D$107,((MONTH(E$4)-Assumptions!$D$106+Assumptions!$D$107)/MAX(Assumptions!$C$105,1))-ROUND((MONTH(E$4)-Assumptions!$D$106+Assumptions!$D$107)/MAX(Assumptions!$C$105,1),0)=0),"Yes","No")</f>
        <v>No</v>
      </c>
      <c r="F75" s="12" t="str">
        <f>IF(OR(MONTH(F$4)=Assumptions!$D$106-Assumptions!$D$107,((MONTH(F$4)-Assumptions!$D$106+Assumptions!$D$107)/MAX(Assumptions!$C$105,1))-ROUND((MONTH(F$4)-Assumptions!$D$106+Assumptions!$D$107)/MAX(Assumptions!$C$105,1),0)=0),"Yes","No")</f>
        <v>No</v>
      </c>
      <c r="G75" s="12" t="str">
        <f>IF(OR(MONTH(G$4)=Assumptions!$D$106-Assumptions!$D$107,((MONTH(G$4)-Assumptions!$D$106+Assumptions!$D$107)/MAX(Assumptions!$C$105,1))-ROUND((MONTH(G$4)-Assumptions!$D$106+Assumptions!$D$107)/MAX(Assumptions!$C$105,1),0)=0),"Yes","No")</f>
        <v>No</v>
      </c>
      <c r="H75" s="12" t="str">
        <f>IF(OR(MONTH(H$4)=Assumptions!$D$106-Assumptions!$D$107,((MONTH(H$4)-Assumptions!$D$106+Assumptions!$D$107)/MAX(Assumptions!$C$105,1))-ROUND((MONTH(H$4)-Assumptions!$D$106+Assumptions!$D$107)/MAX(Assumptions!$C$105,1),0)=0),"Yes","No")</f>
        <v>No</v>
      </c>
    </row>
    <row r="76" spans="1:8" s="6" customFormat="1" ht="16.149999999999999" hidden="1" customHeight="1" x14ac:dyDescent="0.25">
      <c r="A76" s="119"/>
      <c r="B76" s="6" t="s">
        <v>204</v>
      </c>
      <c r="C76" s="12" t="str">
        <f>IF(OR(MONTH(C$4)=Assumptions!$D$106,((MONTH(C$4)-Assumptions!$D$106)/MAX(Assumptions!$C$105,1))-ROUND((MONTH(C$4)-Assumptions!$D$106)/MAX(Assumptions!$C$105,1),0)=0),"Yes","No")</f>
        <v>No</v>
      </c>
      <c r="D76" s="12" t="str">
        <f>IF(OR(MONTH(D$4)=Assumptions!$D$106,((MONTH(D$4)-Assumptions!$D$106)/MAX(Assumptions!$C$105,1))-ROUND((MONTH(D$4)-Assumptions!$D$106)/MAX(Assumptions!$C$105,1),0)=0),"Yes","No")</f>
        <v>No</v>
      </c>
      <c r="E76" s="12" t="str">
        <f>IF(OR(MONTH(E$4)=Assumptions!$D$106,((MONTH(E$4)-Assumptions!$D$106)/MAX(Assumptions!$C$105,1))-ROUND((MONTH(E$4)-Assumptions!$D$106)/MAX(Assumptions!$C$105,1),0)=0),"Yes","No")</f>
        <v>No</v>
      </c>
      <c r="F76" s="12" t="str">
        <f>IF(OR(MONTH(F$4)=Assumptions!$D$106,((MONTH(F$4)-Assumptions!$D$106)/MAX(Assumptions!$C$105,1))-ROUND((MONTH(F$4)-Assumptions!$D$106)/MAX(Assumptions!$C$105,1),0)=0),"Yes","No")</f>
        <v>No</v>
      </c>
      <c r="G76" s="12" t="str">
        <f>IF(OR(MONTH(G$4)=Assumptions!$D$106,((MONTH(G$4)-Assumptions!$D$106)/MAX(Assumptions!$C$105,1))-ROUND((MONTH(G$4)-Assumptions!$D$106)/MAX(Assumptions!$C$105,1),0)=0),"Yes","No")</f>
        <v>No</v>
      </c>
      <c r="H76" s="12" t="str">
        <f>IF(OR(MONTH(H$4)=Assumptions!$D$106,((MONTH(H$4)-Assumptions!$D$106)/MAX(Assumptions!$C$105,1))-ROUND((MONTH(H$4)-Assumptions!$D$106)/MAX(Assumptions!$C$105,1),0)=0),"Yes","No")</f>
        <v>No</v>
      </c>
    </row>
    <row r="77" spans="1:8" s="6" customFormat="1" ht="16.149999999999999" hidden="1" customHeight="1" x14ac:dyDescent="0.25">
      <c r="A77" s="119"/>
      <c r="B77" s="6" t="s">
        <v>47</v>
      </c>
      <c r="C77" s="75"/>
      <c r="D77" s="75">
        <f ca="1">IncState!C36</f>
        <v>9386722987.0484009</v>
      </c>
      <c r="E77" s="75">
        <f ca="1">IncState!D36</f>
        <v>10618366545.178057</v>
      </c>
      <c r="F77" s="75">
        <f ca="1">IncState!E36</f>
        <v>11557604240.233105</v>
      </c>
      <c r="G77" s="75">
        <f ca="1">IncState!F36</f>
        <v>12926185671.880917</v>
      </c>
      <c r="H77" s="75">
        <f ca="1">IncState!G36</f>
        <v>14053219208.594753</v>
      </c>
    </row>
    <row r="78" spans="1:8" s="6" customFormat="1" ht="16.149999999999999" hidden="1" customHeight="1" x14ac:dyDescent="0.25">
      <c r="A78" s="119"/>
      <c r="B78" s="6" t="s">
        <v>224</v>
      </c>
      <c r="C78" s="75"/>
      <c r="D78" s="75">
        <f ca="1">IF(SUM($D77:D77)&lt;=0,0,(SUM($D77:D77)*D74))-SUM($C78:C78)</f>
        <v>1971211827.280164</v>
      </c>
      <c r="E78" s="75">
        <f ca="1">IF(SUM($D77:E77)&lt;=0,0,(SUM($D77:E77)*E74))-SUM($C78:D78)</f>
        <v>2229856974.4873915</v>
      </c>
      <c r="F78" s="75">
        <f ca="1">IF(SUM($D77:F77)&lt;=0,0,(SUM($D77:F77)*F74))-SUM($C78:E78)</f>
        <v>2427096890.4489527</v>
      </c>
      <c r="G78" s="75">
        <f ca="1">IF(SUM($D77:G77)&lt;=0,0,(SUM($D77:G77)*G74))-SUM($C78:F78)</f>
        <v>2714498991.0949926</v>
      </c>
      <c r="H78" s="75">
        <f ca="1">IF(SUM($D77:H77)&lt;=0,0,(SUM($D77:H77)*H74))-SUM($C78:G78)</f>
        <v>2951176033.8048973</v>
      </c>
    </row>
    <row r="79" spans="1:8" s="6" customFormat="1" ht="16.149999999999999" hidden="1" customHeight="1" x14ac:dyDescent="0.25">
      <c r="A79" s="119"/>
      <c r="B79" s="6" t="s">
        <v>225</v>
      </c>
      <c r="C79" s="75">
        <f ca="1">C38</f>
        <v>0</v>
      </c>
      <c r="D79" s="75">
        <f ca="1">D78</f>
        <v>1971211827.280164</v>
      </c>
      <c r="E79" s="75">
        <f t="shared" ref="E79:H79" ca="1" si="22">E78</f>
        <v>2229856974.4873915</v>
      </c>
      <c r="F79" s="75">
        <f t="shared" ca="1" si="22"/>
        <v>2427096890.4489527</v>
      </c>
      <c r="G79" s="75">
        <f t="shared" ca="1" si="22"/>
        <v>2714498991.0949926</v>
      </c>
      <c r="H79" s="75">
        <f t="shared" ca="1" si="22"/>
        <v>2951176033.8048973</v>
      </c>
    </row>
    <row r="80" spans="1:8" s="6" customFormat="1" ht="16.149999999999999" hidden="1" customHeight="1" x14ac:dyDescent="0.25">
      <c r="A80" s="119"/>
      <c r="B80" s="6" t="s">
        <v>226</v>
      </c>
      <c r="C80" s="75"/>
      <c r="D80" s="75">
        <f ca="1">IF(OR(Assumptions!$C$107="Cash",D76="Yes"),0,D78/12*Assumptions!$C$105)</f>
        <v>1971211827.2801638</v>
      </c>
      <c r="E80" s="75">
        <f ca="1">IF(OR(Assumptions!$C$107="Cash",E76="Yes"),0,E78/12*Assumptions!$C$105)</f>
        <v>2229856974.4873915</v>
      </c>
      <c r="F80" s="75">
        <f ca="1">IF(OR(Assumptions!$C$107="Cash",F76="Yes"),0,F78/12*Assumptions!$C$105)</f>
        <v>2427096890.4489527</v>
      </c>
      <c r="G80" s="75">
        <f ca="1">IF(OR(Assumptions!$C$107="Cash",G76="Yes"),0,G78/12*Assumptions!$C$105)</f>
        <v>2714498991.0949926</v>
      </c>
      <c r="H80" s="75">
        <f ca="1">IF(OR(Assumptions!$C$107="Cash",H76="Yes"),0,H78/12*Assumptions!$C$105)</f>
        <v>2951176033.8048973</v>
      </c>
    </row>
    <row r="83" spans="1:3" ht="16.149999999999999" customHeight="1" x14ac:dyDescent="0.3">
      <c r="C83" s="18"/>
    </row>
    <row r="84" spans="1:3" s="18" customFormat="1" ht="16.149999999999999" customHeight="1" x14ac:dyDescent="0.3">
      <c r="A84" s="126"/>
    </row>
    <row r="85" spans="1:3" s="18" customFormat="1" ht="16.149999999999999" customHeight="1" x14ac:dyDescent="0.3">
      <c r="A85" s="126"/>
    </row>
    <row r="86" spans="1:3" s="18" customFormat="1" ht="16.149999999999999" customHeight="1" x14ac:dyDescent="0.3">
      <c r="A86" s="126"/>
    </row>
  </sheetData>
  <phoneticPr fontId="3" type="noConversion"/>
  <printOptions horizontalCentered="1"/>
  <pageMargins left="0.59055118110236227" right="0.59055118110236227" top="0.59055118110236227" bottom="0.59055118110236227" header="0.39370078740157483" footer="0.39370078740157483"/>
  <pageSetup paperSize="9" orientation="landscape" r:id="rId1"/>
  <headerFooter alignWithMargins="0">
    <oddFooter>&amp;C&amp;9Page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197"/>
  <sheetViews>
    <sheetView zoomScale="95" workbookViewId="0">
      <pane ySplit="8" topLeftCell="A9" activePane="bottomLeft" state="frozen"/>
      <selection pane="bottomLeft" activeCell="B4" sqref="B4"/>
    </sheetView>
  </sheetViews>
  <sheetFormatPr defaultColWidth="9.140625" defaultRowHeight="16.149999999999999" customHeight="1" x14ac:dyDescent="0.25"/>
  <cols>
    <col min="1" max="1" width="15.7109375" style="71" customWidth="1"/>
    <col min="2" max="2" width="14.85546875" style="14" bestFit="1" customWidth="1"/>
    <col min="3" max="3" width="14.7109375" style="14" bestFit="1" customWidth="1"/>
    <col min="4" max="4" width="14.85546875" style="14" bestFit="1" customWidth="1"/>
    <col min="5" max="5" width="13.7109375" style="14" customWidth="1"/>
    <col min="6" max="7" width="14.85546875" style="14" bestFit="1" customWidth="1"/>
    <col min="8" max="8" width="2.7109375" style="84" customWidth="1"/>
    <col min="9" max="11" width="15.7109375" style="84" customWidth="1"/>
    <col min="12" max="16" width="15.7109375" style="5" customWidth="1"/>
    <col min="17" max="16384" width="9.140625" style="5"/>
  </cols>
  <sheetData>
    <row r="1" spans="1:11" ht="16.149999999999999" customHeight="1" x14ac:dyDescent="0.25">
      <c r="A1" s="102" t="str">
        <f>IF(ISBLANK(Assumptions!$C$4),"Example Limited",Assumptions!$C$4)</f>
        <v>Maisha Transport Company Limited</v>
      </c>
      <c r="B1" s="16"/>
      <c r="C1" s="16"/>
      <c r="D1" s="16"/>
      <c r="G1" s="83"/>
    </row>
    <row r="2" spans="1:11" ht="16.149999999999999" customHeight="1" x14ac:dyDescent="0.25">
      <c r="A2" s="6" t="s">
        <v>429</v>
      </c>
      <c r="B2" s="16"/>
      <c r="C2" s="16"/>
      <c r="D2" s="16"/>
      <c r="G2" s="83"/>
    </row>
    <row r="4" spans="1:11" ht="16.149999999999999" customHeight="1" x14ac:dyDescent="0.25">
      <c r="A4" s="71" t="s">
        <v>14</v>
      </c>
      <c r="B4" s="85">
        <v>0.12</v>
      </c>
      <c r="C4" s="86"/>
      <c r="D4" s="86"/>
    </row>
    <row r="5" spans="1:11" ht="16.149999999999999" customHeight="1" x14ac:dyDescent="0.25">
      <c r="A5" s="71" t="s">
        <v>20</v>
      </c>
      <c r="B5" s="87">
        <v>60</v>
      </c>
      <c r="C5" s="17"/>
      <c r="D5" s="17"/>
    </row>
    <row r="6" spans="1:11" ht="16.149999999999999" customHeight="1" x14ac:dyDescent="0.25">
      <c r="A6" s="71" t="s">
        <v>21</v>
      </c>
      <c r="B6" s="88" t="str">
        <f>Assumptions!$C$77</f>
        <v>No</v>
      </c>
      <c r="C6" s="89"/>
      <c r="D6" s="89"/>
    </row>
    <row r="7" spans="1:11" ht="16.149999999999999" customHeight="1" x14ac:dyDescent="0.25">
      <c r="A7" s="7" t="s">
        <v>37</v>
      </c>
    </row>
    <row r="8" spans="1:11" s="93" customFormat="1" ht="25.5" x14ac:dyDescent="0.25">
      <c r="A8" s="90" t="s">
        <v>23</v>
      </c>
      <c r="B8" s="91" t="s">
        <v>24</v>
      </c>
      <c r="C8" s="91" t="s">
        <v>227</v>
      </c>
      <c r="D8" s="91" t="s">
        <v>42</v>
      </c>
      <c r="E8" s="91" t="s">
        <v>228</v>
      </c>
      <c r="F8" s="91" t="s">
        <v>38</v>
      </c>
      <c r="G8" s="91" t="s">
        <v>25</v>
      </c>
      <c r="H8" s="92"/>
      <c r="I8" s="92"/>
      <c r="J8" s="92"/>
      <c r="K8" s="92"/>
    </row>
    <row r="9" spans="1:11" s="1" customFormat="1" ht="16.149999999999999" customHeight="1" x14ac:dyDescent="0.25">
      <c r="A9" s="94">
        <v>0</v>
      </c>
      <c r="B9" s="95">
        <v>0</v>
      </c>
      <c r="C9" s="95">
        <f ca="1">-SUMIF(Assumptions!$A$79:$C$102,"LT1",Assumptions!$C$79:$C$102)</f>
        <v>7197807996</v>
      </c>
      <c r="D9" s="95">
        <v>0</v>
      </c>
      <c r="E9" s="89">
        <v>0</v>
      </c>
      <c r="F9" s="96">
        <f>IF($B$6="Yes",0,D9-E9)</f>
        <v>0</v>
      </c>
      <c r="G9" s="89">
        <f ca="1">IF(ROUND(SUM(B9:C9,-F9),0)=0,0,IF($B$6="Yes",SUM($C$9:C9),SUM(B9:C9,-F9)))</f>
        <v>7197807996</v>
      </c>
      <c r="H9" s="97"/>
      <c r="I9" s="97"/>
      <c r="J9" s="97"/>
      <c r="K9" s="97"/>
    </row>
    <row r="10" spans="1:11" s="71" customFormat="1" ht="16.149999999999999" customHeight="1" x14ac:dyDescent="0.25">
      <c r="A10" s="98">
        <v>1</v>
      </c>
      <c r="B10" s="99">
        <f ca="1">G9</f>
        <v>7197807996</v>
      </c>
      <c r="C10" s="99">
        <f ca="1">OFFSET(CashFlow!$B$35,0,ROW($A10)-ROW($A$9),1,1)</f>
        <v>0</v>
      </c>
      <c r="D10" s="96">
        <f ca="1">IF($B$6="Yes",0,IF(ROW(C10)-ROW($C$9)&gt;$B$5,-PMT($B$4,$B$5,SUM(OFFSET(C10,0,0,-$B$5,1)),0,0),-PMT($B$4,$B$5,SUM(OFFSET(C10,0,0,ROW($C$8)-ROW(C10),1)),0,0)))</f>
        <v>864700309.85865974</v>
      </c>
      <c r="E10" s="96">
        <f t="shared" ref="E10:E24" ca="1" si="0">(G9+C10)*$B$4</f>
        <v>863736959.51999998</v>
      </c>
      <c r="F10" s="96">
        <f t="shared" ref="F10:F24" ca="1" si="1">IF($B$6="Yes",0,D10-E10)</f>
        <v>963350.33865976334</v>
      </c>
      <c r="G10" s="89">
        <f ca="1">IF(ROUND(SUM(B10:C10,-F10),0)=0,0,IF($B$6="Yes",SUM($C$9:C10),SUM(B10:C10,-F10)))</f>
        <v>7196844645.6613407</v>
      </c>
      <c r="H10" s="100"/>
      <c r="I10" s="97"/>
      <c r="J10" s="100"/>
      <c r="K10" s="100"/>
    </row>
    <row r="11" spans="1:11" s="71" customFormat="1" ht="16.149999999999999" customHeight="1" x14ac:dyDescent="0.25">
      <c r="A11" s="98">
        <v>2</v>
      </c>
      <c r="B11" s="99">
        <f t="shared" ref="B11:B24" ca="1" si="2">G10</f>
        <v>7196844645.6613407</v>
      </c>
      <c r="C11" s="99">
        <f ca="1">OFFSET(CashFlow!$B$35,0,ROW($A11)-ROW($A$9),1,1)</f>
        <v>0</v>
      </c>
      <c r="D11" s="96">
        <f t="shared" ref="D11:D24" ca="1" si="3">IF($B$6="Yes",0,IF(ROW(C11)-ROW($C$9)&gt;$B$5,-PMT($B$4,$B$5,SUM(OFFSET(C11,0,0,-$B$5,1)),0,0),-PMT($B$4,$B$5,SUM(OFFSET(C11,0,0,ROW($C$8)-ROW(C11),1)),0,0)))</f>
        <v>864700309.85865974</v>
      </c>
      <c r="E11" s="96">
        <f t="shared" ca="1" si="0"/>
        <v>863621357.47936082</v>
      </c>
      <c r="F11" s="96">
        <f t="shared" ca="1" si="1"/>
        <v>1078952.3792989254</v>
      </c>
      <c r="G11" s="89">
        <f ca="1">IF(ROUND(SUM(B11:C11,-F11),0)=0,0,IF($B$6="Yes",SUM($C$9:C11),SUM(B11:C11,-F11)))</f>
        <v>7195765693.2820415</v>
      </c>
      <c r="H11" s="100"/>
      <c r="I11" s="100"/>
      <c r="J11" s="100"/>
      <c r="K11" s="100"/>
    </row>
    <row r="12" spans="1:11" s="71" customFormat="1" ht="16.149999999999999" customHeight="1" x14ac:dyDescent="0.25">
      <c r="A12" s="98">
        <v>3</v>
      </c>
      <c r="B12" s="99">
        <f t="shared" ca="1" si="2"/>
        <v>7195765693.2820415</v>
      </c>
      <c r="C12" s="99">
        <f ca="1">OFFSET(CashFlow!$B$35,0,ROW($A12)-ROW($A$9),1,1)</f>
        <v>0</v>
      </c>
      <c r="D12" s="96">
        <f t="shared" ca="1" si="3"/>
        <v>864700309.85865974</v>
      </c>
      <c r="E12" s="96">
        <f t="shared" ca="1" si="0"/>
        <v>863491883.19384491</v>
      </c>
      <c r="F12" s="96">
        <f t="shared" ca="1" si="1"/>
        <v>1208426.6648148298</v>
      </c>
      <c r="G12" s="89">
        <f ca="1">IF(ROUND(SUM(B12:C12,-F12),0)=0,0,IF($B$6="Yes",SUM($C$9:C12),SUM(B12:C12,-F12)))</f>
        <v>7194557266.6172266</v>
      </c>
      <c r="H12" s="100"/>
      <c r="I12" s="100"/>
      <c r="J12" s="100"/>
      <c r="K12" s="100"/>
    </row>
    <row r="13" spans="1:11" s="71" customFormat="1" ht="16.149999999999999" customHeight="1" x14ac:dyDescent="0.25">
      <c r="A13" s="98">
        <v>4</v>
      </c>
      <c r="B13" s="99">
        <f t="shared" ca="1" si="2"/>
        <v>7194557266.6172266</v>
      </c>
      <c r="C13" s="99">
        <f ca="1">OFFSET(CashFlow!$B$35,0,ROW($A13)-ROW($A$9),1,1)</f>
        <v>0</v>
      </c>
      <c r="D13" s="96">
        <f t="shared" ca="1" si="3"/>
        <v>864700309.85865974</v>
      </c>
      <c r="E13" s="96">
        <f t="shared" ca="1" si="0"/>
        <v>863346871.99406719</v>
      </c>
      <c r="F13" s="96">
        <f t="shared" ca="1" si="1"/>
        <v>1353437.8645925522</v>
      </c>
      <c r="G13" s="89">
        <f ca="1">IF(ROUND(SUM(B13:C13,-F13),0)=0,0,IF($B$6="Yes",SUM($C$9:C13),SUM(B13:C13,-F13)))</f>
        <v>7193203828.752634</v>
      </c>
      <c r="H13" s="100"/>
      <c r="I13" s="100"/>
      <c r="J13" s="100"/>
      <c r="K13" s="100"/>
    </row>
    <row r="14" spans="1:11" s="71" customFormat="1" ht="16.149999999999999" customHeight="1" x14ac:dyDescent="0.25">
      <c r="A14" s="98">
        <v>5</v>
      </c>
      <c r="B14" s="99">
        <f t="shared" ca="1" si="2"/>
        <v>7193203828.752634</v>
      </c>
      <c r="C14" s="99">
        <f ca="1">OFFSET(CashFlow!$B$35,0,ROW($A14)-ROW($A$9),1,1)</f>
        <v>0</v>
      </c>
      <c r="D14" s="96">
        <f t="shared" ca="1" si="3"/>
        <v>864700309.85865974</v>
      </c>
      <c r="E14" s="96">
        <f t="shared" ca="1" si="0"/>
        <v>863184459.45031607</v>
      </c>
      <c r="F14" s="96">
        <f t="shared" ca="1" si="1"/>
        <v>1515850.4083436728</v>
      </c>
      <c r="G14" s="89">
        <f ca="1">IF(ROUND(SUM(B14:C14,-F14),0)=0,0,IF($B$6="Yes",SUM($C$9:C14),SUM(B14:C14,-F14)))</f>
        <v>7191687978.3442907</v>
      </c>
      <c r="H14" s="100"/>
      <c r="I14" s="100"/>
      <c r="J14" s="100"/>
      <c r="K14" s="100"/>
    </row>
    <row r="15" spans="1:11" s="71" customFormat="1" ht="16.149999999999999" customHeight="1" x14ac:dyDescent="0.25">
      <c r="A15" s="98">
        <v>6</v>
      </c>
      <c r="B15" s="99">
        <f t="shared" ca="1" si="2"/>
        <v>7191687978.3442907</v>
      </c>
      <c r="C15" s="99">
        <f ca="1">OFFSET(CashFlow!$B$35,0,ROW($A15)-ROW($A$9),1,1)</f>
        <v>0</v>
      </c>
      <c r="D15" s="96">
        <f t="shared" ca="1" si="3"/>
        <v>864700309.85865974</v>
      </c>
      <c r="E15" s="96">
        <f t="shared" ca="1" si="0"/>
        <v>863002557.40131485</v>
      </c>
      <c r="F15" s="96">
        <f t="shared" ca="1" si="1"/>
        <v>1697752.4573448896</v>
      </c>
      <c r="G15" s="89">
        <f ca="1">IF(ROUND(SUM(B15:C15,-F15),0)=0,0,IF($B$6="Yes",SUM($C$9:C15),SUM(B15:C15,-F15)))</f>
        <v>7189990225.8869457</v>
      </c>
      <c r="H15" s="100"/>
      <c r="I15" s="100"/>
      <c r="J15" s="100"/>
      <c r="K15" s="100"/>
    </row>
    <row r="16" spans="1:11" s="71" customFormat="1" ht="16.149999999999999" customHeight="1" x14ac:dyDescent="0.25">
      <c r="A16" s="98">
        <v>7</v>
      </c>
      <c r="B16" s="99">
        <f t="shared" ca="1" si="2"/>
        <v>7189990225.8869457</v>
      </c>
      <c r="C16" s="99">
        <f ca="1">OFFSET(CashFlow!$B$35,0,ROW($A16)-ROW($A$9),1,1)</f>
        <v>0</v>
      </c>
      <c r="D16" s="96">
        <f t="shared" ca="1" si="3"/>
        <v>864700309.85865974</v>
      </c>
      <c r="E16" s="96">
        <f t="shared" ca="1" si="0"/>
        <v>862798827.10643351</v>
      </c>
      <c r="F16" s="96">
        <f t="shared" ca="1" si="1"/>
        <v>1901482.7522262335</v>
      </c>
      <c r="G16" s="89">
        <f ca="1">IF(ROUND(SUM(B16:C16,-F16),0)=0,0,IF($B$6="Yes",SUM($C$9:C16),SUM(B16:C16,-F16)))</f>
        <v>7188088743.1347198</v>
      </c>
      <c r="H16" s="100"/>
      <c r="I16" s="100"/>
      <c r="J16" s="100"/>
      <c r="K16" s="100"/>
    </row>
    <row r="17" spans="1:11" s="71" customFormat="1" ht="16.149999999999999" customHeight="1" x14ac:dyDescent="0.25">
      <c r="A17" s="98">
        <v>8</v>
      </c>
      <c r="B17" s="99">
        <f t="shared" ca="1" si="2"/>
        <v>7188088743.1347198</v>
      </c>
      <c r="C17" s="99">
        <f ca="1">OFFSET(CashFlow!$B$35,0,ROW($A17)-ROW($A$9),1,1)</f>
        <v>0</v>
      </c>
      <c r="D17" s="96">
        <f t="shared" ca="1" si="3"/>
        <v>864700309.85865974</v>
      </c>
      <c r="E17" s="96">
        <f t="shared" ca="1" si="0"/>
        <v>862570649.1761663</v>
      </c>
      <c r="F17" s="96">
        <f t="shared" ca="1" si="1"/>
        <v>2129660.6824934483</v>
      </c>
      <c r="G17" s="89">
        <f ca="1">IF(ROUND(SUM(B17:C17,-F17),0)=0,0,IF($B$6="Yes",SUM($C$9:C17),SUM(B17:C17,-F17)))</f>
        <v>7185959082.4522266</v>
      </c>
      <c r="H17" s="100"/>
      <c r="I17" s="100"/>
      <c r="J17" s="100"/>
      <c r="K17" s="100"/>
    </row>
    <row r="18" spans="1:11" s="71" customFormat="1" ht="16.149999999999999" customHeight="1" x14ac:dyDescent="0.25">
      <c r="A18" s="98">
        <v>9</v>
      </c>
      <c r="B18" s="99">
        <f t="shared" ca="1" si="2"/>
        <v>7185959082.4522266</v>
      </c>
      <c r="C18" s="99">
        <f ca="1">OFFSET(CashFlow!$B$35,0,ROW($A18)-ROW($A$9),1,1)</f>
        <v>0</v>
      </c>
      <c r="D18" s="96">
        <f t="shared" ca="1" si="3"/>
        <v>864700309.85865974</v>
      </c>
      <c r="E18" s="96">
        <f t="shared" ca="1" si="0"/>
        <v>862315089.8942672</v>
      </c>
      <c r="F18" s="96">
        <f t="shared" ca="1" si="1"/>
        <v>2385219.9643925428</v>
      </c>
      <c r="G18" s="89">
        <f ca="1">IF(ROUND(SUM(B18:C18,-F18),0)=0,0,IF($B$6="Yes",SUM($C$9:C18),SUM(B18:C18,-F18)))</f>
        <v>7183573862.487834</v>
      </c>
      <c r="H18" s="100"/>
      <c r="I18" s="100"/>
      <c r="J18" s="100"/>
      <c r="K18" s="100"/>
    </row>
    <row r="19" spans="1:11" s="71" customFormat="1" ht="16.149999999999999" customHeight="1" x14ac:dyDescent="0.25">
      <c r="A19" s="98">
        <v>10</v>
      </c>
      <c r="B19" s="99">
        <f t="shared" ca="1" si="2"/>
        <v>7183573862.487834</v>
      </c>
      <c r="C19" s="99">
        <f ca="1">OFFSET(CashFlow!$B$35,0,ROW($A19)-ROW($A$9),1,1)</f>
        <v>0</v>
      </c>
      <c r="D19" s="96">
        <f t="shared" ca="1" si="3"/>
        <v>864700309.85865974</v>
      </c>
      <c r="E19" s="96">
        <f t="shared" ca="1" si="0"/>
        <v>862028863.49854004</v>
      </c>
      <c r="F19" s="96">
        <f t="shared" ca="1" si="1"/>
        <v>2671446.3601197004</v>
      </c>
      <c r="G19" s="89">
        <f ca="1">IF(ROUND(SUM(B19:C19,-F19),0)=0,0,IF($B$6="Yes",SUM($C$9:C19),SUM(B19:C19,-F19)))</f>
        <v>7180902416.1277142</v>
      </c>
      <c r="H19" s="100"/>
      <c r="I19" s="100"/>
      <c r="J19" s="100"/>
      <c r="K19" s="100"/>
    </row>
    <row r="20" spans="1:11" s="71" customFormat="1" ht="16.149999999999999" customHeight="1" x14ac:dyDescent="0.25">
      <c r="A20" s="98">
        <v>11</v>
      </c>
      <c r="B20" s="99">
        <f t="shared" ca="1" si="2"/>
        <v>7180902416.1277142</v>
      </c>
      <c r="C20" s="99">
        <f ca="1">OFFSET(CashFlow!$B$35,0,ROW($A20)-ROW($A$9),1,1)</f>
        <v>0</v>
      </c>
      <c r="D20" s="96">
        <f t="shared" ca="1" si="3"/>
        <v>864700309.85865974</v>
      </c>
      <c r="E20" s="96">
        <f t="shared" ca="1" si="0"/>
        <v>861708289.93532562</v>
      </c>
      <c r="F20" s="96">
        <f t="shared" ca="1" si="1"/>
        <v>2992019.9233341217</v>
      </c>
      <c r="G20" s="89">
        <f ca="1">IF(ROUND(SUM(B20:C20,-F20),0)=0,0,IF($B$6="Yes",SUM($C$9:C20),SUM(B20:C20,-F20)))</f>
        <v>7177910396.20438</v>
      </c>
      <c r="H20" s="100"/>
      <c r="I20" s="100"/>
      <c r="J20" s="100"/>
      <c r="K20" s="100"/>
    </row>
    <row r="21" spans="1:11" ht="16.149999999999999" customHeight="1" x14ac:dyDescent="0.25">
      <c r="A21" s="98">
        <v>12</v>
      </c>
      <c r="B21" s="99">
        <f t="shared" ca="1" si="2"/>
        <v>7177910396.20438</v>
      </c>
      <c r="C21" s="99">
        <f ca="1">OFFSET(CashFlow!$B$35,0,ROW($A21)-ROW($A$9),1,1)</f>
        <v>0</v>
      </c>
      <c r="D21" s="96">
        <f t="shared" ca="1" si="3"/>
        <v>864700309.85865974</v>
      </c>
      <c r="E21" s="96">
        <f t="shared" ca="1" si="0"/>
        <v>861349247.54452562</v>
      </c>
      <c r="F21" s="96">
        <f t="shared" ca="1" si="1"/>
        <v>3351062.3141341209</v>
      </c>
      <c r="G21" s="89">
        <f ca="1">IF(ROUND(SUM(B21:C21,-F21),0)=0,0,IF($B$6="Yes",SUM($C$9:C21),SUM(B21:C21,-F21)))</f>
        <v>7174559333.8902454</v>
      </c>
    </row>
    <row r="22" spans="1:11" ht="16.149999999999999" customHeight="1" x14ac:dyDescent="0.25">
      <c r="A22" s="98">
        <v>13</v>
      </c>
      <c r="B22" s="99">
        <f t="shared" ca="1" si="2"/>
        <v>7174559333.8902454</v>
      </c>
      <c r="C22" s="99">
        <f ca="1">OFFSET(CashFlow!$B$35,0,ROW($A22)-ROW($A$9),1,1)</f>
        <v>0</v>
      </c>
      <c r="D22" s="96">
        <f t="shared" ca="1" si="3"/>
        <v>864700309.85865974</v>
      </c>
      <c r="E22" s="96">
        <f t="shared" ca="1" si="0"/>
        <v>860947120.06682944</v>
      </c>
      <c r="F22" s="96">
        <f t="shared" ca="1" si="1"/>
        <v>3753189.7918303013</v>
      </c>
      <c r="G22" s="89">
        <f ca="1">IF(ROUND(SUM(B22:C22,-F22),0)=0,0,IF($B$6="Yes",SUM($C$9:C22),SUM(B22:C22,-F22)))</f>
        <v>7170806144.0984154</v>
      </c>
    </row>
    <row r="23" spans="1:11" ht="16.149999999999999" customHeight="1" x14ac:dyDescent="0.25">
      <c r="A23" s="98">
        <v>14</v>
      </c>
      <c r="B23" s="99">
        <f t="shared" ca="1" si="2"/>
        <v>7170806144.0984154</v>
      </c>
      <c r="C23" s="99">
        <f ca="1">OFFSET(CashFlow!$B$35,0,ROW($A23)-ROW($A$9),1,1)</f>
        <v>0</v>
      </c>
      <c r="D23" s="96">
        <f t="shared" ca="1" si="3"/>
        <v>864700309.85865974</v>
      </c>
      <c r="E23" s="96">
        <f t="shared" ca="1" si="0"/>
        <v>860496737.2918098</v>
      </c>
      <c r="F23" s="96">
        <f t="shared" ca="1" si="1"/>
        <v>4203572.566849947</v>
      </c>
      <c r="G23" s="89">
        <f ca="1">IF(ROUND(SUM(B23:C23,-F23),0)=0,0,IF($B$6="Yes",SUM($C$9:C23),SUM(B23:C23,-F23)))</f>
        <v>7166602571.5315657</v>
      </c>
    </row>
    <row r="24" spans="1:11" s="56" customFormat="1" ht="16.149999999999999" customHeight="1" x14ac:dyDescent="0.25">
      <c r="A24" s="98">
        <v>15</v>
      </c>
      <c r="B24" s="99">
        <f t="shared" ca="1" si="2"/>
        <v>7166602571.5315657</v>
      </c>
      <c r="C24" s="99">
        <f ca="1">OFFSET(CashFlow!$B$35,0,ROW($A24)-ROW($A$9),1,1)</f>
        <v>0</v>
      </c>
      <c r="D24" s="96">
        <f t="shared" ca="1" si="3"/>
        <v>864700309.85865974</v>
      </c>
      <c r="E24" s="96">
        <f t="shared" ca="1" si="0"/>
        <v>859992308.5837878</v>
      </c>
      <c r="F24" s="96">
        <f t="shared" ca="1" si="1"/>
        <v>4708001.2748719454</v>
      </c>
      <c r="G24" s="89">
        <f ca="1">IF(ROUND(SUM(B24:C24,-F24),0)=0,0,IF($B$6="Yes",SUM($C$9:C24),SUM(B24:C24,-F24)))</f>
        <v>7161894570.2566938</v>
      </c>
      <c r="H24" s="101"/>
      <c r="I24" s="101"/>
      <c r="J24" s="101"/>
      <c r="K24" s="101"/>
    </row>
    <row r="25" spans="1:11" ht="16.149999999999999" customHeight="1" x14ac:dyDescent="0.25">
      <c r="A25" s="98">
        <v>16</v>
      </c>
      <c r="B25" s="99">
        <f t="shared" ref="B25:B88" ca="1" si="4">G24</f>
        <v>7161894570.2566938</v>
      </c>
      <c r="C25" s="99">
        <f ca="1">OFFSET(CashFlow!$B$35,0,ROW($A25)-ROW($A$9),1,1)</f>
        <v>0</v>
      </c>
      <c r="D25" s="96">
        <f t="shared" ref="D25:D88" ca="1" si="5">IF($B$6="Yes",0,IF(ROW(C25)-ROW($C$9)&gt;$B$5,-PMT($B$4,$B$5,SUM(OFFSET(C25,0,0,-$B$5,1)),0,0),-PMT($B$4,$B$5,SUM(OFFSET(C25,0,0,ROW($C$8)-ROW(C25),1)),0,0)))</f>
        <v>864700309.85865974</v>
      </c>
      <c r="E25" s="96">
        <f t="shared" ref="E25:E88" ca="1" si="6">(G24+C25)*$B$4</f>
        <v>859427348.43080318</v>
      </c>
      <c r="F25" s="96">
        <f t="shared" ref="F25:F88" ca="1" si="7">IF($B$6="Yes",0,D25-E25)</f>
        <v>5272961.4278565645</v>
      </c>
      <c r="G25" s="89">
        <f ca="1">IF(ROUND(SUM(B25:C25,-F25),0)=0,0,IF($B$6="Yes",SUM($C$9:C25),SUM(B25:C25,-F25)))</f>
        <v>7156621608.8288374</v>
      </c>
    </row>
    <row r="26" spans="1:11" ht="16.149999999999999" customHeight="1" x14ac:dyDescent="0.25">
      <c r="A26" s="98">
        <v>17</v>
      </c>
      <c r="B26" s="99">
        <f t="shared" ca="1" si="4"/>
        <v>7156621608.8288374</v>
      </c>
      <c r="C26" s="99">
        <f ca="1">OFFSET(CashFlow!$B$35,0,ROW($A26)-ROW($A$9),1,1)</f>
        <v>0</v>
      </c>
      <c r="D26" s="96">
        <f t="shared" ca="1" si="5"/>
        <v>864700309.85865974</v>
      </c>
      <c r="E26" s="96">
        <f t="shared" ca="1" si="6"/>
        <v>858794593.0594604</v>
      </c>
      <c r="F26" s="96">
        <f t="shared" ca="1" si="7"/>
        <v>5905716.7991993427</v>
      </c>
      <c r="G26" s="89">
        <f ca="1">IF(ROUND(SUM(B26:C26,-F26),0)=0,0,IF($B$6="Yes",SUM($C$9:C26),SUM(B26:C26,-F26)))</f>
        <v>7150715892.0296383</v>
      </c>
    </row>
    <row r="27" spans="1:11" ht="16.149999999999999" customHeight="1" x14ac:dyDescent="0.25">
      <c r="A27" s="98">
        <v>18</v>
      </c>
      <c r="B27" s="99">
        <f t="shared" ca="1" si="4"/>
        <v>7150715892.0296383</v>
      </c>
      <c r="C27" s="99">
        <f ca="1">OFFSET(CashFlow!$B$35,0,ROW($A27)-ROW($A$9),1,1)</f>
        <v>0</v>
      </c>
      <c r="D27" s="96">
        <f t="shared" ca="1" si="5"/>
        <v>864700309.85865974</v>
      </c>
      <c r="E27" s="96">
        <f t="shared" ca="1" si="6"/>
        <v>858085907.04355657</v>
      </c>
      <c r="F27" s="96">
        <f t="shared" ca="1" si="7"/>
        <v>6614402.8151031733</v>
      </c>
      <c r="G27" s="89">
        <f ca="1">IF(ROUND(SUM(B27:C27,-F27),0)=0,0,IF($B$6="Yes",SUM($C$9:C27),SUM(B27:C27,-F27)))</f>
        <v>7144101489.2145348</v>
      </c>
    </row>
    <row r="28" spans="1:11" ht="16.149999999999999" customHeight="1" x14ac:dyDescent="0.25">
      <c r="A28" s="98">
        <v>19</v>
      </c>
      <c r="B28" s="99">
        <f t="shared" ca="1" si="4"/>
        <v>7144101489.2145348</v>
      </c>
      <c r="C28" s="99">
        <f ca="1">OFFSET(CashFlow!$B$35,0,ROW($A28)-ROW($A$9),1,1)</f>
        <v>0</v>
      </c>
      <c r="D28" s="96">
        <f t="shared" ca="1" si="5"/>
        <v>864700309.85865974</v>
      </c>
      <c r="E28" s="96">
        <f t="shared" ca="1" si="6"/>
        <v>857292178.70574415</v>
      </c>
      <c r="F28" s="96">
        <f t="shared" ca="1" si="7"/>
        <v>7408131.152915597</v>
      </c>
      <c r="G28" s="89">
        <f ca="1">IF(ROUND(SUM(B28:C28,-F28),0)=0,0,IF($B$6="Yes",SUM($C$9:C28),SUM(B28:C28,-F28)))</f>
        <v>7136693358.0616188</v>
      </c>
    </row>
    <row r="29" spans="1:11" ht="16.149999999999999" customHeight="1" x14ac:dyDescent="0.25">
      <c r="A29" s="98">
        <v>20</v>
      </c>
      <c r="B29" s="99">
        <f t="shared" ca="1" si="4"/>
        <v>7136693358.0616188</v>
      </c>
      <c r="C29" s="99">
        <f ca="1">OFFSET(CashFlow!$B$35,0,ROW($A29)-ROW($A$9),1,1)</f>
        <v>0</v>
      </c>
      <c r="D29" s="96">
        <f t="shared" ca="1" si="5"/>
        <v>864700309.85865974</v>
      </c>
      <c r="E29" s="96">
        <f t="shared" ca="1" si="6"/>
        <v>856403202.96739423</v>
      </c>
      <c r="F29" s="96">
        <f t="shared" ca="1" si="7"/>
        <v>8297106.8912655115</v>
      </c>
      <c r="G29" s="89">
        <f ca="1">IF(ROUND(SUM(B29:C29,-F29),0)=0,0,IF($B$6="Yes",SUM($C$9:C29),SUM(B29:C29,-F29)))</f>
        <v>7128396251.1703529</v>
      </c>
    </row>
    <row r="30" spans="1:11" ht="16.149999999999999" customHeight="1" x14ac:dyDescent="0.25">
      <c r="A30" s="98">
        <v>21</v>
      </c>
      <c r="B30" s="99">
        <f t="shared" ca="1" si="4"/>
        <v>7128396251.1703529</v>
      </c>
      <c r="C30" s="99">
        <f ca="1">OFFSET(CashFlow!$B$35,0,ROW($A30)-ROW($A$9),1,1)</f>
        <v>0</v>
      </c>
      <c r="D30" s="96">
        <f t="shared" ca="1" si="5"/>
        <v>864700309.85865974</v>
      </c>
      <c r="E30" s="96">
        <f t="shared" ca="1" si="6"/>
        <v>855407550.14044237</v>
      </c>
      <c r="F30" s="96">
        <f t="shared" ca="1" si="7"/>
        <v>9292759.7182173729</v>
      </c>
      <c r="G30" s="89">
        <f ca="1">IF(ROUND(SUM(B30:C30,-F30),0)=0,0,IF($B$6="Yes",SUM($C$9:C30),SUM(B30:C30,-F30)))</f>
        <v>7119103491.4521351</v>
      </c>
    </row>
    <row r="31" spans="1:11" ht="16.149999999999999" customHeight="1" x14ac:dyDescent="0.25">
      <c r="A31" s="98">
        <v>22</v>
      </c>
      <c r="B31" s="99">
        <f t="shared" ca="1" si="4"/>
        <v>7119103491.4521351</v>
      </c>
      <c r="C31" s="99">
        <f ca="1">OFFSET(CashFlow!$B$35,0,ROW($A31)-ROW($A$9),1,1)</f>
        <v>0</v>
      </c>
      <c r="D31" s="96">
        <f t="shared" ca="1" si="5"/>
        <v>864700309.85865974</v>
      </c>
      <c r="E31" s="96">
        <f t="shared" ca="1" si="6"/>
        <v>854292418.97425616</v>
      </c>
      <c r="F31" s="96">
        <f t="shared" ca="1" si="7"/>
        <v>10407890.884403586</v>
      </c>
      <c r="G31" s="89">
        <f ca="1">IF(ROUND(SUM(B31:C31,-F31),0)=0,0,IF($B$6="Yes",SUM($C$9:C31),SUM(B31:C31,-F31)))</f>
        <v>7108695600.5677319</v>
      </c>
    </row>
    <row r="32" spans="1:11" ht="16.149999999999999" customHeight="1" x14ac:dyDescent="0.25">
      <c r="A32" s="98">
        <v>23</v>
      </c>
      <c r="B32" s="99">
        <f t="shared" ca="1" si="4"/>
        <v>7108695600.5677319</v>
      </c>
      <c r="C32" s="99">
        <f ca="1">OFFSET(CashFlow!$B$35,0,ROW($A32)-ROW($A$9),1,1)</f>
        <v>0</v>
      </c>
      <c r="D32" s="96">
        <f t="shared" ca="1" si="5"/>
        <v>864700309.85865974</v>
      </c>
      <c r="E32" s="96">
        <f t="shared" ca="1" si="6"/>
        <v>853043472.06812775</v>
      </c>
      <c r="F32" s="96">
        <f t="shared" ca="1" si="7"/>
        <v>11656837.790531993</v>
      </c>
      <c r="G32" s="89">
        <f ca="1">IF(ROUND(SUM(B32:C32,-F32),0)=0,0,IF($B$6="Yes",SUM($C$9:C32),SUM(B32:C32,-F32)))</f>
        <v>7097038762.7771997</v>
      </c>
    </row>
    <row r="33" spans="1:7" ht="16.149999999999999" customHeight="1" x14ac:dyDescent="0.25">
      <c r="A33" s="98">
        <v>24</v>
      </c>
      <c r="B33" s="99">
        <f t="shared" ca="1" si="4"/>
        <v>7097038762.7771997</v>
      </c>
      <c r="C33" s="99">
        <f ca="1">OFFSET(CashFlow!$B$35,0,ROW($A33)-ROW($A$9),1,1)</f>
        <v>0</v>
      </c>
      <c r="D33" s="96">
        <f t="shared" ca="1" si="5"/>
        <v>864700309.85865974</v>
      </c>
      <c r="E33" s="96">
        <f t="shared" ca="1" si="6"/>
        <v>851644651.53326392</v>
      </c>
      <c r="F33" s="96">
        <f t="shared" ca="1" si="7"/>
        <v>13055658.325395823</v>
      </c>
      <c r="G33" s="89">
        <f ca="1">IF(ROUND(SUM(B33:C33,-F33),0)=0,0,IF($B$6="Yes",SUM($C$9:C33),SUM(B33:C33,-F33)))</f>
        <v>7083983104.4518042</v>
      </c>
    </row>
    <row r="34" spans="1:7" ht="16.149999999999999" customHeight="1" x14ac:dyDescent="0.25">
      <c r="A34" s="98">
        <v>25</v>
      </c>
      <c r="B34" s="99">
        <f t="shared" ca="1" si="4"/>
        <v>7083983104.4518042</v>
      </c>
      <c r="C34" s="99">
        <f ca="1">OFFSET(CashFlow!$B$35,0,ROW($A34)-ROW($A$9),1,1)</f>
        <v>0</v>
      </c>
      <c r="D34" s="96">
        <f t="shared" ca="1" si="5"/>
        <v>864700309.85865974</v>
      </c>
      <c r="E34" s="96">
        <f t="shared" ca="1" si="6"/>
        <v>850077972.53421652</v>
      </c>
      <c r="F34" s="96">
        <f t="shared" ca="1" si="7"/>
        <v>14622337.324443221</v>
      </c>
      <c r="G34" s="89">
        <f ca="1">IF(ROUND(SUM(B34:C34,-F34),0)=0,0,IF($B$6="Yes",SUM($C$9:C34),SUM(B34:C34,-F34)))</f>
        <v>7069360767.1273613</v>
      </c>
    </row>
    <row r="35" spans="1:7" ht="16.149999999999999" customHeight="1" x14ac:dyDescent="0.25">
      <c r="A35" s="98">
        <v>26</v>
      </c>
      <c r="B35" s="99">
        <f t="shared" ca="1" si="4"/>
        <v>7069360767.1273613</v>
      </c>
      <c r="C35" s="99">
        <f ca="1">OFFSET(CashFlow!$B$35,0,ROW($A35)-ROW($A$9),1,1)</f>
        <v>0</v>
      </c>
      <c r="D35" s="96">
        <f t="shared" ca="1" si="5"/>
        <v>864700309.85865974</v>
      </c>
      <c r="E35" s="96">
        <f t="shared" ca="1" si="6"/>
        <v>848323292.05528331</v>
      </c>
      <c r="F35" s="96">
        <f t="shared" ca="1" si="7"/>
        <v>16377017.803376436</v>
      </c>
      <c r="G35" s="89">
        <f ca="1">IF(ROUND(SUM(B35:C35,-F35),0)=0,0,IF($B$6="Yes",SUM($C$9:C35),SUM(B35:C35,-F35)))</f>
        <v>7052983749.3239851</v>
      </c>
    </row>
    <row r="36" spans="1:7" ht="16.149999999999999" customHeight="1" x14ac:dyDescent="0.25">
      <c r="A36" s="98">
        <v>27</v>
      </c>
      <c r="B36" s="99">
        <f t="shared" ca="1" si="4"/>
        <v>7052983749.3239851</v>
      </c>
      <c r="C36" s="99">
        <f ca="1">OFFSET(CashFlow!$B$35,0,ROW($A36)-ROW($A$9),1,1)</f>
        <v>0</v>
      </c>
      <c r="D36" s="96">
        <f t="shared" ca="1" si="5"/>
        <v>864700309.85865974</v>
      </c>
      <c r="E36" s="96">
        <f t="shared" ca="1" si="6"/>
        <v>846358049.9188782</v>
      </c>
      <c r="F36" s="96">
        <f t="shared" ca="1" si="7"/>
        <v>18342259.939781547</v>
      </c>
      <c r="G36" s="89">
        <f ca="1">IF(ROUND(SUM(B36:C36,-F36),0)=0,0,IF($B$6="Yes",SUM($C$9:C36),SUM(B36:C36,-F36)))</f>
        <v>7034641489.3842039</v>
      </c>
    </row>
    <row r="37" spans="1:7" ht="16.149999999999999" customHeight="1" x14ac:dyDescent="0.25">
      <c r="A37" s="98">
        <v>28</v>
      </c>
      <c r="B37" s="99">
        <f t="shared" ca="1" si="4"/>
        <v>7034641489.3842039</v>
      </c>
      <c r="C37" s="99">
        <f ca="1">OFFSET(CashFlow!$B$35,0,ROW($A37)-ROW($A$9),1,1)</f>
        <v>0</v>
      </c>
      <c r="D37" s="96">
        <f t="shared" ca="1" si="5"/>
        <v>864700309.85865974</v>
      </c>
      <c r="E37" s="96">
        <f t="shared" ca="1" si="6"/>
        <v>844156978.72610438</v>
      </c>
      <c r="F37" s="96">
        <f t="shared" ca="1" si="7"/>
        <v>20543331.132555366</v>
      </c>
      <c r="G37" s="89">
        <f ca="1">IF(ROUND(SUM(B37:C37,-F37),0)=0,0,IF($B$6="Yes",SUM($C$9:C37),SUM(B37:C37,-F37)))</f>
        <v>7014098158.2516489</v>
      </c>
    </row>
    <row r="38" spans="1:7" ht="16.149999999999999" customHeight="1" x14ac:dyDescent="0.25">
      <c r="A38" s="98">
        <v>29</v>
      </c>
      <c r="B38" s="99">
        <f t="shared" ca="1" si="4"/>
        <v>7014098158.2516489</v>
      </c>
      <c r="C38" s="99">
        <f ca="1">OFFSET(CashFlow!$B$35,0,ROW($A38)-ROW($A$9),1,1)</f>
        <v>0</v>
      </c>
      <c r="D38" s="96">
        <f t="shared" ca="1" si="5"/>
        <v>864700309.85865974</v>
      </c>
      <c r="E38" s="96">
        <f t="shared" ca="1" si="6"/>
        <v>841691778.99019778</v>
      </c>
      <c r="F38" s="96">
        <f t="shared" ca="1" si="7"/>
        <v>23008530.868461967</v>
      </c>
      <c r="G38" s="89">
        <f ca="1">IF(ROUND(SUM(B38:C38,-F38),0)=0,0,IF($B$6="Yes",SUM($C$9:C38),SUM(B38:C38,-F38)))</f>
        <v>6991089627.3831873</v>
      </c>
    </row>
    <row r="39" spans="1:7" ht="16.149999999999999" customHeight="1" x14ac:dyDescent="0.25">
      <c r="A39" s="98">
        <v>30</v>
      </c>
      <c r="B39" s="99">
        <f t="shared" ca="1" si="4"/>
        <v>6991089627.3831873</v>
      </c>
      <c r="C39" s="99">
        <f ca="1">OFFSET(CashFlow!$B$35,0,ROW($A39)-ROW($A$9),1,1)</f>
        <v>0</v>
      </c>
      <c r="D39" s="96">
        <f t="shared" ca="1" si="5"/>
        <v>864700309.85865974</v>
      </c>
      <c r="E39" s="96">
        <f t="shared" ca="1" si="6"/>
        <v>838930755.28598249</v>
      </c>
      <c r="F39" s="96">
        <f t="shared" ca="1" si="7"/>
        <v>25769554.572677255</v>
      </c>
      <c r="G39" s="89">
        <f ca="1">IF(ROUND(SUM(B39:C39,-F39),0)=0,0,IF($B$6="Yes",SUM($C$9:C39),SUM(B39:C39,-F39)))</f>
        <v>6965320072.8105097</v>
      </c>
    </row>
    <row r="40" spans="1:7" ht="16.149999999999999" customHeight="1" x14ac:dyDescent="0.25">
      <c r="A40" s="98">
        <v>31</v>
      </c>
      <c r="B40" s="99">
        <f t="shared" ca="1" si="4"/>
        <v>6965320072.8105097</v>
      </c>
      <c r="C40" s="99">
        <f ca="1">OFFSET(CashFlow!$B$35,0,ROW($A40)-ROW($A$9),1,1)</f>
        <v>0</v>
      </c>
      <c r="D40" s="96">
        <f t="shared" ca="1" si="5"/>
        <v>864700309.85865974</v>
      </c>
      <c r="E40" s="96">
        <f t="shared" ca="1" si="6"/>
        <v>835838408.73726118</v>
      </c>
      <c r="F40" s="96">
        <f t="shared" ca="1" si="7"/>
        <v>28861901.121398568</v>
      </c>
      <c r="G40" s="89">
        <f ca="1">IF(ROUND(SUM(B40:C40,-F40),0)=0,0,IF($B$6="Yes",SUM($C$9:C40),SUM(B40:C40,-F40)))</f>
        <v>6936458171.6891108</v>
      </c>
    </row>
    <row r="41" spans="1:7" ht="16.149999999999999" customHeight="1" x14ac:dyDescent="0.25">
      <c r="A41" s="98">
        <v>32</v>
      </c>
      <c r="B41" s="99">
        <f t="shared" ca="1" si="4"/>
        <v>6936458171.6891108</v>
      </c>
      <c r="C41" s="99">
        <f ca="1">OFFSET(CashFlow!$B$35,0,ROW($A41)-ROW($A$9),1,1)</f>
        <v>0</v>
      </c>
      <c r="D41" s="96">
        <f t="shared" ca="1" si="5"/>
        <v>864700309.85865974</v>
      </c>
      <c r="E41" s="96">
        <f t="shared" ca="1" si="6"/>
        <v>832374980.60269332</v>
      </c>
      <c r="F41" s="96">
        <f t="shared" ca="1" si="7"/>
        <v>32325329.255966425</v>
      </c>
      <c r="G41" s="89">
        <f ca="1">IF(ROUND(SUM(B41:C41,-F41),0)=0,0,IF($B$6="Yes",SUM($C$9:C41),SUM(B41:C41,-F41)))</f>
        <v>6904132842.4331446</v>
      </c>
    </row>
    <row r="42" spans="1:7" ht="16.149999999999999" customHeight="1" x14ac:dyDescent="0.25">
      <c r="A42" s="98">
        <v>33</v>
      </c>
      <c r="B42" s="99">
        <f t="shared" ca="1" si="4"/>
        <v>6904132842.4331446</v>
      </c>
      <c r="C42" s="99">
        <f ca="1">OFFSET(CashFlow!$B$35,0,ROW($A42)-ROW($A$9),1,1)</f>
        <v>0</v>
      </c>
      <c r="D42" s="96">
        <f t="shared" ca="1" si="5"/>
        <v>864700309.85865974</v>
      </c>
      <c r="E42" s="96">
        <f t="shared" ca="1" si="6"/>
        <v>828495941.09197736</v>
      </c>
      <c r="F42" s="96">
        <f t="shared" ca="1" si="7"/>
        <v>36204368.766682386</v>
      </c>
      <c r="G42" s="89">
        <f ca="1">IF(ROUND(SUM(B42:C42,-F42),0)=0,0,IF($B$6="Yes",SUM($C$9:C42),SUM(B42:C42,-F42)))</f>
        <v>6867928473.6664619</v>
      </c>
    </row>
    <row r="43" spans="1:7" ht="16.149999999999999" customHeight="1" x14ac:dyDescent="0.25">
      <c r="A43" s="98">
        <v>34</v>
      </c>
      <c r="B43" s="99">
        <f t="shared" ca="1" si="4"/>
        <v>6867928473.6664619</v>
      </c>
      <c r="C43" s="99">
        <f ca="1">OFFSET(CashFlow!$B$35,0,ROW($A43)-ROW($A$9),1,1)</f>
        <v>0</v>
      </c>
      <c r="D43" s="96">
        <f t="shared" ca="1" si="5"/>
        <v>864700309.85865974</v>
      </c>
      <c r="E43" s="96">
        <f t="shared" ca="1" si="6"/>
        <v>824151416.83997536</v>
      </c>
      <c r="F43" s="96">
        <f t="shared" ca="1" si="7"/>
        <v>40548893.018684387</v>
      </c>
      <c r="G43" s="89">
        <f ca="1">IF(ROUND(SUM(B43:C43,-F43),0)=0,0,IF($B$6="Yes",SUM($C$9:C43),SUM(B43:C43,-F43)))</f>
        <v>6827379580.6477776</v>
      </c>
    </row>
    <row r="44" spans="1:7" ht="16.149999999999999" customHeight="1" x14ac:dyDescent="0.25">
      <c r="A44" s="98">
        <v>35</v>
      </c>
      <c r="B44" s="99">
        <f t="shared" ca="1" si="4"/>
        <v>6827379580.6477776</v>
      </c>
      <c r="C44" s="99">
        <f ca="1">OFFSET(CashFlow!$B$35,0,ROW($A44)-ROW($A$9),1,1)</f>
        <v>0</v>
      </c>
      <c r="D44" s="96">
        <f t="shared" ca="1" si="5"/>
        <v>864700309.85865974</v>
      </c>
      <c r="E44" s="96">
        <f t="shared" ca="1" si="6"/>
        <v>819285549.6777333</v>
      </c>
      <c r="F44" s="96">
        <f t="shared" ca="1" si="7"/>
        <v>45414760.180926442</v>
      </c>
      <c r="G44" s="89">
        <f ca="1">IF(ROUND(SUM(B44:C44,-F44),0)=0,0,IF($B$6="Yes",SUM($C$9:C44),SUM(B44:C44,-F44)))</f>
        <v>6781964820.4668512</v>
      </c>
    </row>
    <row r="45" spans="1:7" ht="16.149999999999999" customHeight="1" x14ac:dyDescent="0.25">
      <c r="A45" s="98">
        <v>36</v>
      </c>
      <c r="B45" s="99">
        <f t="shared" ca="1" si="4"/>
        <v>6781964820.4668512</v>
      </c>
      <c r="C45" s="99">
        <f ca="1">OFFSET(CashFlow!$B$35,0,ROW($A45)-ROW($A$9),1,1)</f>
        <v>0</v>
      </c>
      <c r="D45" s="96">
        <f t="shared" ca="1" si="5"/>
        <v>864700309.85865974</v>
      </c>
      <c r="E45" s="96">
        <f t="shared" ca="1" si="6"/>
        <v>813835778.45602214</v>
      </c>
      <c r="F45" s="96">
        <f t="shared" ca="1" si="7"/>
        <v>50864531.402637601</v>
      </c>
      <c r="G45" s="89">
        <f ca="1">IF(ROUND(SUM(B45:C45,-F45),0)=0,0,IF($B$6="Yes",SUM($C$9:C45),SUM(B45:C45,-F45)))</f>
        <v>6731100289.0642138</v>
      </c>
    </row>
    <row r="46" spans="1:7" ht="16.149999999999999" customHeight="1" x14ac:dyDescent="0.25">
      <c r="A46" s="98">
        <v>37</v>
      </c>
      <c r="B46" s="99">
        <f t="shared" ca="1" si="4"/>
        <v>6731100289.0642138</v>
      </c>
      <c r="C46" s="99">
        <f ca="1">OFFSET(CashFlow!$B$35,0,ROW($A46)-ROW($A$9),1,1)</f>
        <v>0</v>
      </c>
      <c r="D46" s="96">
        <f t="shared" ca="1" si="5"/>
        <v>864700309.85865974</v>
      </c>
      <c r="E46" s="96">
        <f t="shared" ca="1" si="6"/>
        <v>807732034.68770564</v>
      </c>
      <c r="F46" s="96">
        <f t="shared" ca="1" si="7"/>
        <v>56968275.170954108</v>
      </c>
      <c r="G46" s="89">
        <f ca="1">IF(ROUND(SUM(B46:C46,-F46),0)=0,0,IF($B$6="Yes",SUM($C$9:C46),SUM(B46:C46,-F46)))</f>
        <v>6674132013.89326</v>
      </c>
    </row>
    <row r="47" spans="1:7" ht="16.149999999999999" customHeight="1" x14ac:dyDescent="0.25">
      <c r="A47" s="98">
        <v>38</v>
      </c>
      <c r="B47" s="99">
        <f t="shared" ca="1" si="4"/>
        <v>6674132013.89326</v>
      </c>
      <c r="C47" s="99">
        <f ca="1">OFFSET(CashFlow!$B$35,0,ROW($A47)-ROW($A$9),1,1)</f>
        <v>0</v>
      </c>
      <c r="D47" s="96">
        <f t="shared" ca="1" si="5"/>
        <v>864700309.85865974</v>
      </c>
      <c r="E47" s="96">
        <f t="shared" ca="1" si="6"/>
        <v>800895841.66719115</v>
      </c>
      <c r="F47" s="96">
        <f t="shared" ca="1" si="7"/>
        <v>63804468.191468596</v>
      </c>
      <c r="G47" s="89">
        <f ca="1">IF(ROUND(SUM(B47:C47,-F47),0)=0,0,IF($B$6="Yes",SUM($C$9:C47),SUM(B47:C47,-F47)))</f>
        <v>6610327545.7017918</v>
      </c>
    </row>
    <row r="48" spans="1:7" ht="16.149999999999999" customHeight="1" x14ac:dyDescent="0.25">
      <c r="A48" s="98">
        <v>39</v>
      </c>
      <c r="B48" s="99">
        <f t="shared" ca="1" si="4"/>
        <v>6610327545.7017918</v>
      </c>
      <c r="C48" s="99">
        <f ca="1">OFFSET(CashFlow!$B$35,0,ROW($A48)-ROW($A$9),1,1)</f>
        <v>0</v>
      </c>
      <c r="D48" s="96">
        <f t="shared" ca="1" si="5"/>
        <v>864700309.85865974</v>
      </c>
      <c r="E48" s="96">
        <f t="shared" ca="1" si="6"/>
        <v>793239305.48421502</v>
      </c>
      <c r="F48" s="96">
        <f t="shared" ca="1" si="7"/>
        <v>71461004.374444723</v>
      </c>
      <c r="G48" s="89">
        <f ca="1">IF(ROUND(SUM(B48:C48,-F48),0)=0,0,IF($B$6="Yes",SUM($C$9:C48),SUM(B48:C48,-F48)))</f>
        <v>6538866541.3273468</v>
      </c>
    </row>
    <row r="49" spans="1:7" ht="16.149999999999999" customHeight="1" x14ac:dyDescent="0.25">
      <c r="A49" s="98">
        <v>40</v>
      </c>
      <c r="B49" s="99">
        <f t="shared" ca="1" si="4"/>
        <v>6538866541.3273468</v>
      </c>
      <c r="C49" s="99">
        <f ca="1">OFFSET(CashFlow!$B$35,0,ROW($A49)-ROW($A$9),1,1)</f>
        <v>0</v>
      </c>
      <c r="D49" s="96">
        <f t="shared" ca="1" si="5"/>
        <v>864700309.85865974</v>
      </c>
      <c r="E49" s="96">
        <f t="shared" ca="1" si="6"/>
        <v>784663984.95928156</v>
      </c>
      <c r="F49" s="96">
        <f t="shared" ca="1" si="7"/>
        <v>80036324.899378181</v>
      </c>
      <c r="G49" s="89">
        <f ca="1">IF(ROUND(SUM(B49:C49,-F49),0)=0,0,IF($B$6="Yes",SUM($C$9:C49),SUM(B49:C49,-F49)))</f>
        <v>6458830216.427969</v>
      </c>
    </row>
    <row r="50" spans="1:7" ht="16.149999999999999" customHeight="1" x14ac:dyDescent="0.25">
      <c r="A50" s="98">
        <v>41</v>
      </c>
      <c r="B50" s="99">
        <f t="shared" ca="1" si="4"/>
        <v>6458830216.427969</v>
      </c>
      <c r="C50" s="99">
        <f ca="1">OFFSET(CashFlow!$B$35,0,ROW($A50)-ROW($A$9),1,1)</f>
        <v>0</v>
      </c>
      <c r="D50" s="96">
        <f t="shared" ca="1" si="5"/>
        <v>864700309.85865974</v>
      </c>
      <c r="E50" s="96">
        <f t="shared" ca="1" si="6"/>
        <v>775059625.97135627</v>
      </c>
      <c r="F50" s="96">
        <f t="shared" ca="1" si="7"/>
        <v>89640683.887303472</v>
      </c>
      <c r="G50" s="89">
        <f ca="1">IF(ROUND(SUM(B50:C50,-F50),0)=0,0,IF($B$6="Yes",SUM($C$9:C50),SUM(B50:C50,-F50)))</f>
        <v>6369189532.5406656</v>
      </c>
    </row>
    <row r="51" spans="1:7" ht="16.149999999999999" customHeight="1" x14ac:dyDescent="0.25">
      <c r="A51" s="98">
        <v>42</v>
      </c>
      <c r="B51" s="99">
        <f t="shared" ca="1" si="4"/>
        <v>6369189532.5406656</v>
      </c>
      <c r="C51" s="99">
        <f ca="1">OFFSET(CashFlow!$B$35,0,ROW($A51)-ROW($A$9),1,1)</f>
        <v>0</v>
      </c>
      <c r="D51" s="96">
        <f t="shared" ca="1" si="5"/>
        <v>864700309.85865974</v>
      </c>
      <c r="E51" s="96">
        <f t="shared" ca="1" si="6"/>
        <v>764302743.90487981</v>
      </c>
      <c r="F51" s="96">
        <f t="shared" ca="1" si="7"/>
        <v>100397565.95377994</v>
      </c>
      <c r="G51" s="89">
        <f ca="1">IF(ROUND(SUM(B51:C51,-F51),0)=0,0,IF($B$6="Yes",SUM($C$9:C51),SUM(B51:C51,-F51)))</f>
        <v>6268791966.5868855</v>
      </c>
    </row>
    <row r="52" spans="1:7" ht="16.149999999999999" customHeight="1" x14ac:dyDescent="0.25">
      <c r="A52" s="98">
        <v>43</v>
      </c>
      <c r="B52" s="99">
        <f t="shared" ca="1" si="4"/>
        <v>6268791966.5868855</v>
      </c>
      <c r="C52" s="99">
        <f ca="1">OFFSET(CashFlow!$B$35,0,ROW($A52)-ROW($A$9),1,1)</f>
        <v>0</v>
      </c>
      <c r="D52" s="96">
        <f t="shared" ca="1" si="5"/>
        <v>864700309.85865974</v>
      </c>
      <c r="E52" s="96">
        <f t="shared" ca="1" si="6"/>
        <v>752255035.99042618</v>
      </c>
      <c r="F52" s="96">
        <f t="shared" ca="1" si="7"/>
        <v>112445273.86823356</v>
      </c>
      <c r="G52" s="89">
        <f ca="1">IF(ROUND(SUM(B52:C52,-F52),0)=0,0,IF($B$6="Yes",SUM($C$9:C52),SUM(B52:C52,-F52)))</f>
        <v>6156346692.7186518</v>
      </c>
    </row>
    <row r="53" spans="1:7" ht="16.149999999999999" customHeight="1" x14ac:dyDescent="0.25">
      <c r="A53" s="98">
        <v>44</v>
      </c>
      <c r="B53" s="99">
        <f t="shared" ca="1" si="4"/>
        <v>6156346692.7186518</v>
      </c>
      <c r="C53" s="99">
        <f ca="1">OFFSET(CashFlow!$B$35,0,ROW($A53)-ROW($A$9),1,1)</f>
        <v>0</v>
      </c>
      <c r="D53" s="96">
        <f t="shared" ca="1" si="5"/>
        <v>864700309.85865974</v>
      </c>
      <c r="E53" s="96">
        <f t="shared" ca="1" si="6"/>
        <v>738761603.12623823</v>
      </c>
      <c r="F53" s="96">
        <f t="shared" ca="1" si="7"/>
        <v>125938706.73242152</v>
      </c>
      <c r="G53" s="89">
        <f ca="1">IF(ROUND(SUM(B53:C53,-F53),0)=0,0,IF($B$6="Yes",SUM($C$9:C53),SUM(B53:C53,-F53)))</f>
        <v>6030407985.9862299</v>
      </c>
    </row>
    <row r="54" spans="1:7" ht="16.149999999999999" customHeight="1" x14ac:dyDescent="0.25">
      <c r="A54" s="98">
        <v>45</v>
      </c>
      <c r="B54" s="99">
        <f t="shared" ca="1" si="4"/>
        <v>6030407985.9862299</v>
      </c>
      <c r="C54" s="99">
        <f ca="1">OFFSET(CashFlow!$B$35,0,ROW($A54)-ROW($A$9),1,1)</f>
        <v>0</v>
      </c>
      <c r="D54" s="96">
        <f t="shared" ca="1" si="5"/>
        <v>864700309.85865974</v>
      </c>
      <c r="E54" s="96">
        <f t="shared" ca="1" si="6"/>
        <v>723648958.31834757</v>
      </c>
      <c r="F54" s="96">
        <f t="shared" ca="1" si="7"/>
        <v>141051351.54031217</v>
      </c>
      <c r="G54" s="89">
        <f ca="1">IF(ROUND(SUM(B54:C54,-F54),0)=0,0,IF($B$6="Yes",SUM($C$9:C54),SUM(B54:C54,-F54)))</f>
        <v>5889356634.4459181</v>
      </c>
    </row>
    <row r="55" spans="1:7" ht="16.149999999999999" customHeight="1" x14ac:dyDescent="0.25">
      <c r="A55" s="98">
        <v>46</v>
      </c>
      <c r="B55" s="99">
        <f t="shared" ca="1" si="4"/>
        <v>5889356634.4459181</v>
      </c>
      <c r="C55" s="99">
        <f ca="1">OFFSET(CashFlow!$B$35,0,ROW($A55)-ROW($A$9),1,1)</f>
        <v>0</v>
      </c>
      <c r="D55" s="96">
        <f t="shared" ca="1" si="5"/>
        <v>864700309.85865974</v>
      </c>
      <c r="E55" s="96">
        <f t="shared" ca="1" si="6"/>
        <v>706722796.13351011</v>
      </c>
      <c r="F55" s="96">
        <f t="shared" ca="1" si="7"/>
        <v>157977513.72514963</v>
      </c>
      <c r="G55" s="89">
        <f ca="1">IF(ROUND(SUM(B55:C55,-F55),0)=0,0,IF($B$6="Yes",SUM($C$9:C55),SUM(B55:C55,-F55)))</f>
        <v>5731379120.720768</v>
      </c>
    </row>
    <row r="56" spans="1:7" ht="16.149999999999999" customHeight="1" x14ac:dyDescent="0.25">
      <c r="A56" s="98">
        <v>47</v>
      </c>
      <c r="B56" s="99">
        <f t="shared" ca="1" si="4"/>
        <v>5731379120.720768</v>
      </c>
      <c r="C56" s="99">
        <f ca="1">OFFSET(CashFlow!$B$35,0,ROW($A56)-ROW($A$9),1,1)</f>
        <v>0</v>
      </c>
      <c r="D56" s="96">
        <f t="shared" ca="1" si="5"/>
        <v>864700309.85865974</v>
      </c>
      <c r="E56" s="96">
        <f t="shared" ca="1" si="6"/>
        <v>687765494.48649216</v>
      </c>
      <c r="F56" s="96">
        <f t="shared" ca="1" si="7"/>
        <v>176934815.37216759</v>
      </c>
      <c r="G56" s="89">
        <f ca="1">IF(ROUND(SUM(B56:C56,-F56),0)=0,0,IF($B$6="Yes",SUM($C$9:C56),SUM(B56:C56,-F56)))</f>
        <v>5554444305.3486004</v>
      </c>
    </row>
    <row r="57" spans="1:7" ht="16.149999999999999" customHeight="1" x14ac:dyDescent="0.25">
      <c r="A57" s="98">
        <v>48</v>
      </c>
      <c r="B57" s="99">
        <f t="shared" ca="1" si="4"/>
        <v>5554444305.3486004</v>
      </c>
      <c r="C57" s="99">
        <f ca="1">OFFSET(CashFlow!$B$35,0,ROW($A57)-ROW($A$9),1,1)</f>
        <v>0</v>
      </c>
      <c r="D57" s="96">
        <f t="shared" ca="1" si="5"/>
        <v>864700309.85865974</v>
      </c>
      <c r="E57" s="96">
        <f t="shared" ca="1" si="6"/>
        <v>666533316.64183199</v>
      </c>
      <c r="F57" s="96">
        <f t="shared" ca="1" si="7"/>
        <v>198166993.21682775</v>
      </c>
      <c r="G57" s="89">
        <f ca="1">IF(ROUND(SUM(B57:C57,-F57),0)=0,0,IF($B$6="Yes",SUM($C$9:C57),SUM(B57:C57,-F57)))</f>
        <v>5356277312.131773</v>
      </c>
    </row>
    <row r="58" spans="1:7" ht="16.149999999999999" customHeight="1" x14ac:dyDescent="0.25">
      <c r="A58" s="98">
        <v>49</v>
      </c>
      <c r="B58" s="99">
        <f t="shared" ca="1" si="4"/>
        <v>5356277312.131773</v>
      </c>
      <c r="C58" s="99">
        <f ca="1">OFFSET(CashFlow!$B$35,0,ROW($A58)-ROW($A$9),1,1)</f>
        <v>0</v>
      </c>
      <c r="D58" s="96">
        <f t="shared" ca="1" si="5"/>
        <v>864700309.85865974</v>
      </c>
      <c r="E58" s="96">
        <f t="shared" ca="1" si="6"/>
        <v>642753277.45581269</v>
      </c>
      <c r="F58" s="96">
        <f t="shared" ca="1" si="7"/>
        <v>221947032.40284705</v>
      </c>
      <c r="G58" s="89">
        <f ca="1">IF(ROUND(SUM(B58:C58,-F58),0)=0,0,IF($B$6="Yes",SUM($C$9:C58),SUM(B58:C58,-F58)))</f>
        <v>5134330279.7289257</v>
      </c>
    </row>
    <row r="59" spans="1:7" ht="16.149999999999999" customHeight="1" x14ac:dyDescent="0.25">
      <c r="A59" s="98">
        <v>50</v>
      </c>
      <c r="B59" s="99">
        <f t="shared" ca="1" si="4"/>
        <v>5134330279.7289257</v>
      </c>
      <c r="C59" s="99">
        <f ca="1">OFFSET(CashFlow!$B$35,0,ROW($A59)-ROW($A$9),1,1)</f>
        <v>0</v>
      </c>
      <c r="D59" s="96">
        <f t="shared" ca="1" si="5"/>
        <v>864700309.85865974</v>
      </c>
      <c r="E59" s="96">
        <f t="shared" ca="1" si="6"/>
        <v>616119633.56747103</v>
      </c>
      <c r="F59" s="96">
        <f t="shared" ca="1" si="7"/>
        <v>248580676.29118872</v>
      </c>
      <c r="G59" s="89">
        <f ca="1">IF(ROUND(SUM(B59:C59,-F59),0)=0,0,IF($B$6="Yes",SUM($C$9:C59),SUM(B59:C59,-F59)))</f>
        <v>4885749603.4377365</v>
      </c>
    </row>
    <row r="60" spans="1:7" ht="16.149999999999999" customHeight="1" x14ac:dyDescent="0.25">
      <c r="A60" s="98">
        <v>51</v>
      </c>
      <c r="B60" s="99">
        <f t="shared" ca="1" si="4"/>
        <v>4885749603.4377365</v>
      </c>
      <c r="C60" s="99">
        <f ca="1">OFFSET(CashFlow!$B$35,0,ROW($A60)-ROW($A$9),1,1)</f>
        <v>0</v>
      </c>
      <c r="D60" s="96">
        <f t="shared" ca="1" si="5"/>
        <v>864700309.85865974</v>
      </c>
      <c r="E60" s="96">
        <f t="shared" ca="1" si="6"/>
        <v>586289952.4125284</v>
      </c>
      <c r="F60" s="96">
        <f t="shared" ca="1" si="7"/>
        <v>278410357.44613135</v>
      </c>
      <c r="G60" s="89">
        <f ca="1">IF(ROUND(SUM(B60:C60,-F60),0)=0,0,IF($B$6="Yes",SUM($C$9:C60),SUM(B60:C60,-F60)))</f>
        <v>4607339245.9916048</v>
      </c>
    </row>
    <row r="61" spans="1:7" ht="16.149999999999999" customHeight="1" x14ac:dyDescent="0.25">
      <c r="A61" s="98">
        <v>52</v>
      </c>
      <c r="B61" s="99">
        <f t="shared" ca="1" si="4"/>
        <v>4607339245.9916048</v>
      </c>
      <c r="C61" s="99">
        <f ca="1">OFFSET(CashFlow!$B$35,0,ROW($A61)-ROW($A$9),1,1)</f>
        <v>0</v>
      </c>
      <c r="D61" s="96">
        <f t="shared" ca="1" si="5"/>
        <v>864700309.85865974</v>
      </c>
      <c r="E61" s="96">
        <f t="shared" ca="1" si="6"/>
        <v>552880709.51899254</v>
      </c>
      <c r="F61" s="96">
        <f t="shared" ca="1" si="7"/>
        <v>311819600.3396672</v>
      </c>
      <c r="G61" s="89">
        <f ca="1">IF(ROUND(SUM(B61:C61,-F61),0)=0,0,IF($B$6="Yes",SUM($C$9:C61),SUM(B61:C61,-F61)))</f>
        <v>4295519645.6519375</v>
      </c>
    </row>
    <row r="62" spans="1:7" ht="16.149999999999999" customHeight="1" x14ac:dyDescent="0.25">
      <c r="A62" s="98">
        <v>53</v>
      </c>
      <c r="B62" s="99">
        <f t="shared" ca="1" si="4"/>
        <v>4295519645.6519375</v>
      </c>
      <c r="C62" s="99">
        <f ca="1">OFFSET(CashFlow!$B$35,0,ROW($A62)-ROW($A$9),1,1)</f>
        <v>0</v>
      </c>
      <c r="D62" s="96">
        <f t="shared" ca="1" si="5"/>
        <v>864700309.85865974</v>
      </c>
      <c r="E62" s="96">
        <f t="shared" ca="1" si="6"/>
        <v>515462357.4782325</v>
      </c>
      <c r="F62" s="96">
        <f t="shared" ca="1" si="7"/>
        <v>349237952.38042724</v>
      </c>
      <c r="G62" s="89">
        <f ca="1">IF(ROUND(SUM(B62:C62,-F62),0)=0,0,IF($B$6="Yes",SUM($C$9:C62),SUM(B62:C62,-F62)))</f>
        <v>3946281693.2715101</v>
      </c>
    </row>
    <row r="63" spans="1:7" ht="16.149999999999999" customHeight="1" x14ac:dyDescent="0.25">
      <c r="A63" s="98">
        <v>54</v>
      </c>
      <c r="B63" s="99">
        <f t="shared" ca="1" si="4"/>
        <v>3946281693.2715101</v>
      </c>
      <c r="C63" s="99">
        <f ca="1">OFFSET(CashFlow!$B$35,0,ROW($A63)-ROW($A$9),1,1)</f>
        <v>0</v>
      </c>
      <c r="D63" s="96">
        <f t="shared" ca="1" si="5"/>
        <v>864700309.85865974</v>
      </c>
      <c r="E63" s="96">
        <f t="shared" ca="1" si="6"/>
        <v>473553803.19258118</v>
      </c>
      <c r="F63" s="96">
        <f t="shared" ca="1" si="7"/>
        <v>391146506.66607857</v>
      </c>
      <c r="G63" s="89">
        <f ca="1">IF(ROUND(SUM(B63:C63,-F63),0)=0,0,IF($B$6="Yes",SUM($C$9:C63),SUM(B63:C63,-F63)))</f>
        <v>3555135186.6054316</v>
      </c>
    </row>
    <row r="64" spans="1:7" ht="16.149999999999999" customHeight="1" x14ac:dyDescent="0.25">
      <c r="A64" s="98">
        <v>55</v>
      </c>
      <c r="B64" s="99">
        <f t="shared" ca="1" si="4"/>
        <v>3555135186.6054316</v>
      </c>
      <c r="C64" s="99">
        <f ca="1">OFFSET(CashFlow!$B$35,0,ROW($A64)-ROW($A$9),1,1)</f>
        <v>0</v>
      </c>
      <c r="D64" s="96">
        <f t="shared" ca="1" si="5"/>
        <v>864700309.85865974</v>
      </c>
      <c r="E64" s="96">
        <f t="shared" ca="1" si="6"/>
        <v>426616222.3926518</v>
      </c>
      <c r="F64" s="96">
        <f t="shared" ca="1" si="7"/>
        <v>438084087.46600795</v>
      </c>
      <c r="G64" s="89">
        <f ca="1">IF(ROUND(SUM(B64:C64,-F64),0)=0,0,IF($B$6="Yes",SUM($C$9:C64),SUM(B64:C64,-F64)))</f>
        <v>3117051099.1394234</v>
      </c>
    </row>
    <row r="65" spans="1:7" ht="16.149999999999999" customHeight="1" x14ac:dyDescent="0.25">
      <c r="A65" s="98">
        <v>56</v>
      </c>
      <c r="B65" s="99">
        <f t="shared" ca="1" si="4"/>
        <v>3117051099.1394234</v>
      </c>
      <c r="C65" s="99">
        <f ca="1">OFFSET(CashFlow!$B$35,0,ROW($A65)-ROW($A$9),1,1)</f>
        <v>0</v>
      </c>
      <c r="D65" s="96">
        <f t="shared" ca="1" si="5"/>
        <v>864700309.85865974</v>
      </c>
      <c r="E65" s="96">
        <f t="shared" ca="1" si="6"/>
        <v>374046131.89673078</v>
      </c>
      <c r="F65" s="96">
        <f t="shared" ca="1" si="7"/>
        <v>490654177.96192896</v>
      </c>
      <c r="G65" s="89">
        <f ca="1">IF(ROUND(SUM(B65:C65,-F65),0)=0,0,IF($B$6="Yes",SUM($C$9:C65),SUM(B65:C65,-F65)))</f>
        <v>2626396921.1774945</v>
      </c>
    </row>
    <row r="66" spans="1:7" ht="16.149999999999999" customHeight="1" x14ac:dyDescent="0.25">
      <c r="A66" s="98">
        <v>57</v>
      </c>
      <c r="B66" s="99">
        <f t="shared" ca="1" si="4"/>
        <v>2626396921.1774945</v>
      </c>
      <c r="C66" s="99">
        <f ca="1">OFFSET(CashFlow!$B$35,0,ROW($A66)-ROW($A$9),1,1)</f>
        <v>0</v>
      </c>
      <c r="D66" s="96">
        <f t="shared" ca="1" si="5"/>
        <v>864700309.85865974</v>
      </c>
      <c r="E66" s="96">
        <f t="shared" ca="1" si="6"/>
        <v>315167630.54129934</v>
      </c>
      <c r="F66" s="96">
        <f t="shared" ca="1" si="7"/>
        <v>549532679.3173604</v>
      </c>
      <c r="G66" s="89">
        <f ca="1">IF(ROUND(SUM(B66:C66,-F66),0)=0,0,IF($B$6="Yes",SUM($C$9:C66),SUM(B66:C66,-F66)))</f>
        <v>2076864241.8601341</v>
      </c>
    </row>
    <row r="67" spans="1:7" ht="16.149999999999999" customHeight="1" x14ac:dyDescent="0.25">
      <c r="A67" s="98">
        <v>58</v>
      </c>
      <c r="B67" s="99">
        <f t="shared" ca="1" si="4"/>
        <v>2076864241.8601341</v>
      </c>
      <c r="C67" s="99">
        <f ca="1">OFFSET(CashFlow!$B$35,0,ROW($A67)-ROW($A$9),1,1)</f>
        <v>0</v>
      </c>
      <c r="D67" s="96">
        <f t="shared" ca="1" si="5"/>
        <v>864700309.85865974</v>
      </c>
      <c r="E67" s="96">
        <f t="shared" ca="1" si="6"/>
        <v>249223709.0232161</v>
      </c>
      <c r="F67" s="96">
        <f t="shared" ca="1" si="7"/>
        <v>615476600.83544362</v>
      </c>
      <c r="G67" s="89">
        <f ca="1">IF(ROUND(SUM(B67:C67,-F67),0)=0,0,IF($B$6="Yes",SUM($C$9:C67),SUM(B67:C67,-F67)))</f>
        <v>1461387641.0246906</v>
      </c>
    </row>
    <row r="68" spans="1:7" ht="16.149999999999999" customHeight="1" x14ac:dyDescent="0.25">
      <c r="A68" s="98">
        <v>59</v>
      </c>
      <c r="B68" s="99">
        <f t="shared" ca="1" si="4"/>
        <v>1461387641.0246906</v>
      </c>
      <c r="C68" s="99">
        <f ca="1">OFFSET(CashFlow!$B$35,0,ROW($A68)-ROW($A$9),1,1)</f>
        <v>0</v>
      </c>
      <c r="D68" s="96">
        <f t="shared" ca="1" si="5"/>
        <v>864700309.85865974</v>
      </c>
      <c r="E68" s="96">
        <f t="shared" ca="1" si="6"/>
        <v>175366516.92296287</v>
      </c>
      <c r="F68" s="96">
        <f t="shared" ca="1" si="7"/>
        <v>689333792.93569684</v>
      </c>
      <c r="G68" s="89">
        <f ca="1">IF(ROUND(SUM(B68:C68,-F68),0)=0,0,IF($B$6="Yes",SUM($C$9:C68),SUM(B68:C68,-F68)))</f>
        <v>772053848.08899379</v>
      </c>
    </row>
    <row r="69" spans="1:7" ht="16.149999999999999" customHeight="1" x14ac:dyDescent="0.25">
      <c r="A69" s="98">
        <v>60</v>
      </c>
      <c r="B69" s="99">
        <f t="shared" ca="1" si="4"/>
        <v>772053848.08899379</v>
      </c>
      <c r="C69" s="99">
        <f ca="1">OFFSET(CashFlow!$B$35,0,ROW($A69)-ROW($A$9),1,1)</f>
        <v>0</v>
      </c>
      <c r="D69" s="96">
        <f t="shared" ca="1" si="5"/>
        <v>864700309.85865974</v>
      </c>
      <c r="E69" s="96">
        <f t="shared" ca="1" si="6"/>
        <v>92646461.77067925</v>
      </c>
      <c r="F69" s="96">
        <f t="shared" ca="1" si="7"/>
        <v>772053848.08798051</v>
      </c>
      <c r="G69" s="89">
        <f ca="1">IF(ROUND(SUM(B69:C69,-F69),0)=0,0,IF($B$6="Yes",SUM($C$9:C69),SUM(B69:C69,-F69)))</f>
        <v>0</v>
      </c>
    </row>
    <row r="70" spans="1:7" ht="16.149999999999999" customHeight="1" x14ac:dyDescent="0.25">
      <c r="A70" s="98">
        <v>61</v>
      </c>
      <c r="B70" s="99">
        <f t="shared" ca="1" si="4"/>
        <v>0</v>
      </c>
      <c r="C70" s="99">
        <f ca="1">OFFSET(CashFlow!$B$35,0,ROW($A70)-ROW($A$9),1,1)</f>
        <v>0</v>
      </c>
      <c r="D70" s="96">
        <f t="shared" ca="1" si="5"/>
        <v>0</v>
      </c>
      <c r="E70" s="96">
        <f t="shared" ca="1" si="6"/>
        <v>0</v>
      </c>
      <c r="F70" s="96">
        <f t="shared" ca="1" si="7"/>
        <v>0</v>
      </c>
      <c r="G70" s="89">
        <f ca="1">IF(ROUND(SUM(B70:C70,-F70),0)=0,0,IF($B$6="Yes",SUM($C$9:C70),SUM(B70:C70,-F70)))</f>
        <v>0</v>
      </c>
    </row>
    <row r="71" spans="1:7" ht="16.149999999999999" customHeight="1" x14ac:dyDescent="0.25">
      <c r="A71" s="98">
        <v>62</v>
      </c>
      <c r="B71" s="99">
        <f t="shared" ca="1" si="4"/>
        <v>0</v>
      </c>
      <c r="C71" s="99">
        <f ca="1">OFFSET(CashFlow!$B$35,0,ROW($A71)-ROW($A$9),1,1)</f>
        <v>0</v>
      </c>
      <c r="D71" s="96">
        <f t="shared" ca="1" si="5"/>
        <v>0</v>
      </c>
      <c r="E71" s="96">
        <f t="shared" ca="1" si="6"/>
        <v>0</v>
      </c>
      <c r="F71" s="96">
        <f t="shared" ca="1" si="7"/>
        <v>0</v>
      </c>
      <c r="G71" s="89">
        <f ca="1">IF(ROUND(SUM(B71:C71,-F71),0)=0,0,IF($B$6="Yes",SUM($C$9:C71),SUM(B71:C71,-F71)))</f>
        <v>0</v>
      </c>
    </row>
    <row r="72" spans="1:7" ht="16.149999999999999" customHeight="1" x14ac:dyDescent="0.25">
      <c r="A72" s="98">
        <v>63</v>
      </c>
      <c r="B72" s="99">
        <f t="shared" ca="1" si="4"/>
        <v>0</v>
      </c>
      <c r="C72" s="99">
        <f ca="1">OFFSET(CashFlow!$B$35,0,ROW($A72)-ROW($A$9),1,1)</f>
        <v>0</v>
      </c>
      <c r="D72" s="96">
        <f t="shared" ca="1" si="5"/>
        <v>0</v>
      </c>
      <c r="E72" s="96">
        <f t="shared" ca="1" si="6"/>
        <v>0</v>
      </c>
      <c r="F72" s="96">
        <f t="shared" ca="1" si="7"/>
        <v>0</v>
      </c>
      <c r="G72" s="89">
        <f ca="1">IF(ROUND(SUM(B72:C72,-F72),0)=0,0,IF($B$6="Yes",SUM($C$9:C72),SUM(B72:C72,-F72)))</f>
        <v>0</v>
      </c>
    </row>
    <row r="73" spans="1:7" ht="16.149999999999999" customHeight="1" x14ac:dyDescent="0.25">
      <c r="A73" s="98">
        <v>64</v>
      </c>
      <c r="B73" s="99">
        <f t="shared" ca="1" si="4"/>
        <v>0</v>
      </c>
      <c r="C73" s="99">
        <f ca="1">OFFSET(CashFlow!$B$35,0,ROW($A73)-ROW($A$9),1,1)</f>
        <v>0</v>
      </c>
      <c r="D73" s="96">
        <f t="shared" ca="1" si="5"/>
        <v>0</v>
      </c>
      <c r="E73" s="96">
        <f t="shared" ca="1" si="6"/>
        <v>0</v>
      </c>
      <c r="F73" s="96">
        <f t="shared" ca="1" si="7"/>
        <v>0</v>
      </c>
      <c r="G73" s="89">
        <f ca="1">IF(ROUND(SUM(B73:C73,-F73),0)=0,0,IF($B$6="Yes",SUM($C$9:C73),SUM(B73:C73,-F73)))</f>
        <v>0</v>
      </c>
    </row>
    <row r="74" spans="1:7" ht="16.149999999999999" customHeight="1" x14ac:dyDescent="0.25">
      <c r="A74" s="98">
        <v>65</v>
      </c>
      <c r="B74" s="99">
        <f t="shared" ca="1" si="4"/>
        <v>0</v>
      </c>
      <c r="C74" s="99">
        <f ca="1">OFFSET(CashFlow!$B$35,0,ROW($A74)-ROW($A$9),1,1)</f>
        <v>0</v>
      </c>
      <c r="D74" s="96">
        <f t="shared" ca="1" si="5"/>
        <v>0</v>
      </c>
      <c r="E74" s="96">
        <f t="shared" ca="1" si="6"/>
        <v>0</v>
      </c>
      <c r="F74" s="96">
        <f t="shared" ca="1" si="7"/>
        <v>0</v>
      </c>
      <c r="G74" s="89">
        <f ca="1">IF(ROUND(SUM(B74:C74,-F74),0)=0,0,IF($B$6="Yes",SUM($C$9:C74),SUM(B74:C74,-F74)))</f>
        <v>0</v>
      </c>
    </row>
    <row r="75" spans="1:7" ht="16.149999999999999" customHeight="1" x14ac:dyDescent="0.25">
      <c r="A75" s="98">
        <v>66</v>
      </c>
      <c r="B75" s="99">
        <f t="shared" ca="1" si="4"/>
        <v>0</v>
      </c>
      <c r="C75" s="99">
        <f ca="1">OFFSET(CashFlow!$B$35,0,ROW($A75)-ROW($A$9),1,1)</f>
        <v>0</v>
      </c>
      <c r="D75" s="96">
        <f t="shared" ca="1" si="5"/>
        <v>0</v>
      </c>
      <c r="E75" s="96">
        <f t="shared" ca="1" si="6"/>
        <v>0</v>
      </c>
      <c r="F75" s="96">
        <f t="shared" ca="1" si="7"/>
        <v>0</v>
      </c>
      <c r="G75" s="89">
        <f ca="1">IF(ROUND(SUM(B75:C75,-F75),0)=0,0,IF($B$6="Yes",SUM($C$9:C75),SUM(B75:C75,-F75)))</f>
        <v>0</v>
      </c>
    </row>
    <row r="76" spans="1:7" ht="16.149999999999999" customHeight="1" x14ac:dyDescent="0.25">
      <c r="A76" s="98">
        <v>67</v>
      </c>
      <c r="B76" s="99">
        <f t="shared" ca="1" si="4"/>
        <v>0</v>
      </c>
      <c r="C76" s="99">
        <f ca="1">OFFSET(CashFlow!$B$35,0,ROW($A76)-ROW($A$9),1,1)</f>
        <v>0</v>
      </c>
      <c r="D76" s="96">
        <f t="shared" ca="1" si="5"/>
        <v>0</v>
      </c>
      <c r="E76" s="96">
        <f t="shared" ca="1" si="6"/>
        <v>0</v>
      </c>
      <c r="F76" s="96">
        <f t="shared" ca="1" si="7"/>
        <v>0</v>
      </c>
      <c r="G76" s="89">
        <f ca="1">IF(ROUND(SUM(B76:C76,-F76),0)=0,0,IF($B$6="Yes",SUM($C$9:C76),SUM(B76:C76,-F76)))</f>
        <v>0</v>
      </c>
    </row>
    <row r="77" spans="1:7" ht="16.149999999999999" customHeight="1" x14ac:dyDescent="0.25">
      <c r="A77" s="98">
        <v>68</v>
      </c>
      <c r="B77" s="99">
        <f t="shared" ca="1" si="4"/>
        <v>0</v>
      </c>
      <c r="C77" s="99">
        <f ca="1">OFFSET(CashFlow!$B$35,0,ROW($A77)-ROW($A$9),1,1)</f>
        <v>0</v>
      </c>
      <c r="D77" s="96">
        <f t="shared" ca="1" si="5"/>
        <v>0</v>
      </c>
      <c r="E77" s="96">
        <f t="shared" ca="1" si="6"/>
        <v>0</v>
      </c>
      <c r="F77" s="96">
        <f t="shared" ca="1" si="7"/>
        <v>0</v>
      </c>
      <c r="G77" s="89">
        <f ca="1">IF(ROUND(SUM(B77:C77,-F77),0)=0,0,IF($B$6="Yes",SUM($C$9:C77),SUM(B77:C77,-F77)))</f>
        <v>0</v>
      </c>
    </row>
    <row r="78" spans="1:7" ht="16.149999999999999" customHeight="1" x14ac:dyDescent="0.25">
      <c r="A78" s="98">
        <v>69</v>
      </c>
      <c r="B78" s="99">
        <f t="shared" ca="1" si="4"/>
        <v>0</v>
      </c>
      <c r="C78" s="99">
        <f ca="1">OFFSET(CashFlow!$B$35,0,ROW($A78)-ROW($A$9),1,1)</f>
        <v>0</v>
      </c>
      <c r="D78" s="96">
        <f t="shared" ca="1" si="5"/>
        <v>0</v>
      </c>
      <c r="E78" s="96">
        <f t="shared" ca="1" si="6"/>
        <v>0</v>
      </c>
      <c r="F78" s="96">
        <f t="shared" ca="1" si="7"/>
        <v>0</v>
      </c>
      <c r="G78" s="89">
        <f ca="1">IF(ROUND(SUM(B78:C78,-F78),0)=0,0,IF($B$6="Yes",SUM($C$9:C78),SUM(B78:C78,-F78)))</f>
        <v>0</v>
      </c>
    </row>
    <row r="79" spans="1:7" ht="16.149999999999999" customHeight="1" x14ac:dyDescent="0.25">
      <c r="A79" s="98">
        <v>70</v>
      </c>
      <c r="B79" s="99">
        <f t="shared" ca="1" si="4"/>
        <v>0</v>
      </c>
      <c r="C79" s="99">
        <f ca="1">OFFSET(CashFlow!$B$35,0,ROW($A79)-ROW($A$9),1,1)</f>
        <v>0</v>
      </c>
      <c r="D79" s="96">
        <f t="shared" ca="1" si="5"/>
        <v>0</v>
      </c>
      <c r="E79" s="96">
        <f t="shared" ca="1" si="6"/>
        <v>0</v>
      </c>
      <c r="F79" s="96">
        <f t="shared" ca="1" si="7"/>
        <v>0</v>
      </c>
      <c r="G79" s="89">
        <f ca="1">IF(ROUND(SUM(B79:C79,-F79),0)=0,0,IF($B$6="Yes",SUM($C$9:C79),SUM(B79:C79,-F79)))</f>
        <v>0</v>
      </c>
    </row>
    <row r="80" spans="1:7" ht="16.149999999999999" customHeight="1" x14ac:dyDescent="0.25">
      <c r="A80" s="98">
        <v>71</v>
      </c>
      <c r="B80" s="99">
        <f t="shared" ca="1" si="4"/>
        <v>0</v>
      </c>
      <c r="C80" s="99">
        <f ca="1">OFFSET(CashFlow!$B$35,0,ROW($A80)-ROW($A$9),1,1)</f>
        <v>0</v>
      </c>
      <c r="D80" s="96">
        <f t="shared" ca="1" si="5"/>
        <v>0</v>
      </c>
      <c r="E80" s="96">
        <f t="shared" ca="1" si="6"/>
        <v>0</v>
      </c>
      <c r="F80" s="96">
        <f t="shared" ca="1" si="7"/>
        <v>0</v>
      </c>
      <c r="G80" s="89">
        <f ca="1">IF(ROUND(SUM(B80:C80,-F80),0)=0,0,IF($B$6="Yes",SUM($C$9:C80),SUM(B80:C80,-F80)))</f>
        <v>0</v>
      </c>
    </row>
    <row r="81" spans="1:7" ht="16.149999999999999" customHeight="1" x14ac:dyDescent="0.25">
      <c r="A81" s="98">
        <v>72</v>
      </c>
      <c r="B81" s="99">
        <f t="shared" ca="1" si="4"/>
        <v>0</v>
      </c>
      <c r="C81" s="99">
        <f ca="1">OFFSET(CashFlow!$B$35,0,ROW($A81)-ROW($A$9),1,1)</f>
        <v>0</v>
      </c>
      <c r="D81" s="96">
        <f t="shared" ca="1" si="5"/>
        <v>0</v>
      </c>
      <c r="E81" s="96">
        <f t="shared" ca="1" si="6"/>
        <v>0</v>
      </c>
      <c r="F81" s="96">
        <f t="shared" ca="1" si="7"/>
        <v>0</v>
      </c>
      <c r="G81" s="89">
        <f ca="1">IF(ROUND(SUM(B81:C81,-F81),0)=0,0,IF($B$6="Yes",SUM($C$9:C81),SUM(B81:C81,-F81)))</f>
        <v>0</v>
      </c>
    </row>
    <row r="82" spans="1:7" ht="16.149999999999999" customHeight="1" x14ac:dyDescent="0.25">
      <c r="A82" s="98">
        <v>73</v>
      </c>
      <c r="B82" s="99">
        <f t="shared" ca="1" si="4"/>
        <v>0</v>
      </c>
      <c r="C82" s="99">
        <f ca="1">OFFSET(CashFlow!$B$35,0,ROW($A82)-ROW($A$9),1,1)</f>
        <v>0</v>
      </c>
      <c r="D82" s="96">
        <f t="shared" ca="1" si="5"/>
        <v>0</v>
      </c>
      <c r="E82" s="96">
        <f t="shared" ca="1" si="6"/>
        <v>0</v>
      </c>
      <c r="F82" s="96">
        <f t="shared" ca="1" si="7"/>
        <v>0</v>
      </c>
      <c r="G82" s="89">
        <f ca="1">IF(ROUND(SUM(B82:C82,-F82),0)=0,0,IF($B$6="Yes",SUM($C$9:C82),SUM(B82:C82,-F82)))</f>
        <v>0</v>
      </c>
    </row>
    <row r="83" spans="1:7" ht="16.149999999999999" customHeight="1" x14ac:dyDescent="0.25">
      <c r="A83" s="98">
        <v>74</v>
      </c>
      <c r="B83" s="99">
        <f t="shared" ca="1" si="4"/>
        <v>0</v>
      </c>
      <c r="C83" s="99">
        <f ca="1">OFFSET(CashFlow!$B$35,0,ROW($A83)-ROW($A$9),1,1)</f>
        <v>0</v>
      </c>
      <c r="D83" s="96">
        <f t="shared" ca="1" si="5"/>
        <v>0</v>
      </c>
      <c r="E83" s="96">
        <f t="shared" ca="1" si="6"/>
        <v>0</v>
      </c>
      <c r="F83" s="96">
        <f t="shared" ca="1" si="7"/>
        <v>0</v>
      </c>
      <c r="G83" s="89">
        <f ca="1">IF(ROUND(SUM(B83:C83,-F83),0)=0,0,IF($B$6="Yes",SUM($C$9:C83),SUM(B83:C83,-F83)))</f>
        <v>0</v>
      </c>
    </row>
    <row r="84" spans="1:7" ht="16.149999999999999" customHeight="1" x14ac:dyDescent="0.25">
      <c r="A84" s="98">
        <v>75</v>
      </c>
      <c r="B84" s="99">
        <f t="shared" ca="1" si="4"/>
        <v>0</v>
      </c>
      <c r="C84" s="99">
        <f ca="1">OFFSET(CashFlow!$B$35,0,ROW($A84)-ROW($A$9),1,1)</f>
        <v>0</v>
      </c>
      <c r="D84" s="96">
        <f t="shared" ca="1" si="5"/>
        <v>0</v>
      </c>
      <c r="E84" s="96">
        <f t="shared" ca="1" si="6"/>
        <v>0</v>
      </c>
      <c r="F84" s="96">
        <f t="shared" ca="1" si="7"/>
        <v>0</v>
      </c>
      <c r="G84" s="89">
        <f ca="1">IF(ROUND(SUM(B84:C84,-F84),0)=0,0,IF($B$6="Yes",SUM($C$9:C84),SUM(B84:C84,-F84)))</f>
        <v>0</v>
      </c>
    </row>
    <row r="85" spans="1:7" ht="16.149999999999999" customHeight="1" x14ac:dyDescent="0.25">
      <c r="A85" s="98">
        <v>76</v>
      </c>
      <c r="B85" s="99">
        <f t="shared" ca="1" si="4"/>
        <v>0</v>
      </c>
      <c r="C85" s="99">
        <f ca="1">OFFSET(CashFlow!$B$35,0,ROW($A85)-ROW($A$9),1,1)</f>
        <v>0</v>
      </c>
      <c r="D85" s="96">
        <f t="shared" ca="1" si="5"/>
        <v>0</v>
      </c>
      <c r="E85" s="96">
        <f t="shared" ca="1" si="6"/>
        <v>0</v>
      </c>
      <c r="F85" s="96">
        <f t="shared" ca="1" si="7"/>
        <v>0</v>
      </c>
      <c r="G85" s="89">
        <f ca="1">IF(ROUND(SUM(B85:C85,-F85),0)=0,0,IF($B$6="Yes",SUM($C$9:C85),SUM(B85:C85,-F85)))</f>
        <v>0</v>
      </c>
    </row>
    <row r="86" spans="1:7" ht="16.149999999999999" customHeight="1" x14ac:dyDescent="0.25">
      <c r="A86" s="98">
        <v>77</v>
      </c>
      <c r="B86" s="99">
        <f t="shared" ca="1" si="4"/>
        <v>0</v>
      </c>
      <c r="C86" s="99">
        <f ca="1">OFFSET(CashFlow!$B$35,0,ROW($A86)-ROW($A$9),1,1)</f>
        <v>0</v>
      </c>
      <c r="D86" s="96">
        <f t="shared" ca="1" si="5"/>
        <v>0</v>
      </c>
      <c r="E86" s="96">
        <f t="shared" ca="1" si="6"/>
        <v>0</v>
      </c>
      <c r="F86" s="96">
        <f t="shared" ca="1" si="7"/>
        <v>0</v>
      </c>
      <c r="G86" s="89">
        <f ca="1">IF(ROUND(SUM(B86:C86,-F86),0)=0,0,IF($B$6="Yes",SUM($C$9:C86),SUM(B86:C86,-F86)))</f>
        <v>0</v>
      </c>
    </row>
    <row r="87" spans="1:7" ht="16.149999999999999" customHeight="1" x14ac:dyDescent="0.25">
      <c r="A87" s="98">
        <v>78</v>
      </c>
      <c r="B87" s="99">
        <f t="shared" ca="1" si="4"/>
        <v>0</v>
      </c>
      <c r="C87" s="99">
        <f ca="1">OFFSET(CashFlow!$B$35,0,ROW($A87)-ROW($A$9),1,1)</f>
        <v>0</v>
      </c>
      <c r="D87" s="96">
        <f t="shared" ca="1" si="5"/>
        <v>0</v>
      </c>
      <c r="E87" s="96">
        <f t="shared" ca="1" si="6"/>
        <v>0</v>
      </c>
      <c r="F87" s="96">
        <f t="shared" ca="1" si="7"/>
        <v>0</v>
      </c>
      <c r="G87" s="89">
        <f ca="1">IF(ROUND(SUM(B87:C87,-F87),0)=0,0,IF($B$6="Yes",SUM($C$9:C87),SUM(B87:C87,-F87)))</f>
        <v>0</v>
      </c>
    </row>
    <row r="88" spans="1:7" ht="16.149999999999999" customHeight="1" x14ac:dyDescent="0.25">
      <c r="A88" s="98">
        <v>79</v>
      </c>
      <c r="B88" s="99">
        <f t="shared" ca="1" si="4"/>
        <v>0</v>
      </c>
      <c r="C88" s="99">
        <f ca="1">OFFSET(CashFlow!$B$35,0,ROW($A88)-ROW($A$9),1,1)</f>
        <v>0</v>
      </c>
      <c r="D88" s="96">
        <f t="shared" ca="1" si="5"/>
        <v>0</v>
      </c>
      <c r="E88" s="96">
        <f t="shared" ca="1" si="6"/>
        <v>0</v>
      </c>
      <c r="F88" s="96">
        <f t="shared" ca="1" si="7"/>
        <v>0</v>
      </c>
      <c r="G88" s="89">
        <f ca="1">IF(ROUND(SUM(B88:C88,-F88),0)=0,0,IF($B$6="Yes",SUM($C$9:C88),SUM(B88:C88,-F88)))</f>
        <v>0</v>
      </c>
    </row>
    <row r="89" spans="1:7" ht="16.149999999999999" customHeight="1" x14ac:dyDescent="0.25">
      <c r="A89" s="98">
        <v>80</v>
      </c>
      <c r="B89" s="99">
        <f t="shared" ref="B89:B152" ca="1" si="8">G88</f>
        <v>0</v>
      </c>
      <c r="C89" s="99">
        <f ca="1">OFFSET(CashFlow!$B$35,0,ROW($A89)-ROW($A$9),1,1)</f>
        <v>0</v>
      </c>
      <c r="D89" s="96">
        <f t="shared" ref="D89:D152" ca="1" si="9">IF($B$6="Yes",0,IF(ROW(C89)-ROW($C$9)&gt;$B$5,-PMT($B$4,$B$5,SUM(OFFSET(C89,0,0,-$B$5,1)),0,0),-PMT($B$4,$B$5,SUM(OFFSET(C89,0,0,ROW($C$8)-ROW(C89),1)),0,0)))</f>
        <v>0</v>
      </c>
      <c r="E89" s="96">
        <f t="shared" ref="E89:E152" ca="1" si="10">(G88+C89)*$B$4</f>
        <v>0</v>
      </c>
      <c r="F89" s="96">
        <f t="shared" ref="F89:F152" ca="1" si="11">IF($B$6="Yes",0,D89-E89)</f>
        <v>0</v>
      </c>
      <c r="G89" s="89">
        <f ca="1">IF(ROUND(SUM(B89:C89,-F89),0)=0,0,IF($B$6="Yes",SUM($C$9:C89),SUM(B89:C89,-F89)))</f>
        <v>0</v>
      </c>
    </row>
    <row r="90" spans="1:7" ht="16.149999999999999" customHeight="1" x14ac:dyDescent="0.25">
      <c r="A90" s="98">
        <v>81</v>
      </c>
      <c r="B90" s="99">
        <f t="shared" ca="1" si="8"/>
        <v>0</v>
      </c>
      <c r="C90" s="99">
        <f ca="1">OFFSET(CashFlow!$B$35,0,ROW($A90)-ROW($A$9),1,1)</f>
        <v>0</v>
      </c>
      <c r="D90" s="96">
        <f t="shared" ca="1" si="9"/>
        <v>0</v>
      </c>
      <c r="E90" s="96">
        <f t="shared" ca="1" si="10"/>
        <v>0</v>
      </c>
      <c r="F90" s="96">
        <f t="shared" ca="1" si="11"/>
        <v>0</v>
      </c>
      <c r="G90" s="89">
        <f ca="1">IF(ROUND(SUM(B90:C90,-F90),0)=0,0,IF($B$6="Yes",SUM($C$9:C90),SUM(B90:C90,-F90)))</f>
        <v>0</v>
      </c>
    </row>
    <row r="91" spans="1:7" ht="16.149999999999999" customHeight="1" x14ac:dyDescent="0.25">
      <c r="A91" s="98">
        <v>82</v>
      </c>
      <c r="B91" s="99">
        <f t="shared" ca="1" si="8"/>
        <v>0</v>
      </c>
      <c r="C91" s="99">
        <f ca="1">OFFSET(CashFlow!$B$35,0,ROW($A91)-ROW($A$9),1,1)</f>
        <v>0</v>
      </c>
      <c r="D91" s="96">
        <f t="shared" ca="1" si="9"/>
        <v>0</v>
      </c>
      <c r="E91" s="96">
        <f t="shared" ca="1" si="10"/>
        <v>0</v>
      </c>
      <c r="F91" s="96">
        <f t="shared" ca="1" si="11"/>
        <v>0</v>
      </c>
      <c r="G91" s="89">
        <f ca="1">IF(ROUND(SUM(B91:C91,-F91),0)=0,0,IF($B$6="Yes",SUM($C$9:C91),SUM(B91:C91,-F91)))</f>
        <v>0</v>
      </c>
    </row>
    <row r="92" spans="1:7" ht="16.149999999999999" customHeight="1" x14ac:dyDescent="0.25">
      <c r="A92" s="98">
        <v>83</v>
      </c>
      <c r="B92" s="99">
        <f t="shared" ca="1" si="8"/>
        <v>0</v>
      </c>
      <c r="C92" s="99">
        <f ca="1">OFFSET(CashFlow!$B$35,0,ROW($A92)-ROW($A$9),1,1)</f>
        <v>0</v>
      </c>
      <c r="D92" s="96">
        <f t="shared" ca="1" si="9"/>
        <v>0</v>
      </c>
      <c r="E92" s="96">
        <f t="shared" ca="1" si="10"/>
        <v>0</v>
      </c>
      <c r="F92" s="96">
        <f t="shared" ca="1" si="11"/>
        <v>0</v>
      </c>
      <c r="G92" s="89">
        <f ca="1">IF(ROUND(SUM(B92:C92,-F92),0)=0,0,IF($B$6="Yes",SUM($C$9:C92),SUM(B92:C92,-F92)))</f>
        <v>0</v>
      </c>
    </row>
    <row r="93" spans="1:7" ht="16.149999999999999" customHeight="1" x14ac:dyDescent="0.25">
      <c r="A93" s="98">
        <v>84</v>
      </c>
      <c r="B93" s="99">
        <f t="shared" ca="1" si="8"/>
        <v>0</v>
      </c>
      <c r="C93" s="99">
        <f ca="1">OFFSET(CashFlow!$B$35,0,ROW($A93)-ROW($A$9),1,1)</f>
        <v>0</v>
      </c>
      <c r="D93" s="96">
        <f t="shared" ca="1" si="9"/>
        <v>0</v>
      </c>
      <c r="E93" s="96">
        <f t="shared" ca="1" si="10"/>
        <v>0</v>
      </c>
      <c r="F93" s="96">
        <f t="shared" ca="1" si="11"/>
        <v>0</v>
      </c>
      <c r="G93" s="89">
        <f ca="1">IF(ROUND(SUM(B93:C93,-F93),0)=0,0,IF($B$6="Yes",SUM($C$9:C93),SUM(B93:C93,-F93)))</f>
        <v>0</v>
      </c>
    </row>
    <row r="94" spans="1:7" ht="16.149999999999999" customHeight="1" x14ac:dyDescent="0.25">
      <c r="A94" s="98">
        <v>85</v>
      </c>
      <c r="B94" s="99">
        <f t="shared" ca="1" si="8"/>
        <v>0</v>
      </c>
      <c r="C94" s="99">
        <f ca="1">OFFSET(CashFlow!$B$35,0,ROW($A94)-ROW($A$9),1,1)</f>
        <v>0</v>
      </c>
      <c r="D94" s="96">
        <f t="shared" ca="1" si="9"/>
        <v>0</v>
      </c>
      <c r="E94" s="96">
        <f t="shared" ca="1" si="10"/>
        <v>0</v>
      </c>
      <c r="F94" s="96">
        <f t="shared" ca="1" si="11"/>
        <v>0</v>
      </c>
      <c r="G94" s="89">
        <f ca="1">IF(ROUND(SUM(B94:C94,-F94),0)=0,0,IF($B$6="Yes",SUM($C$9:C94),SUM(B94:C94,-F94)))</f>
        <v>0</v>
      </c>
    </row>
    <row r="95" spans="1:7" ht="16.149999999999999" customHeight="1" x14ac:dyDescent="0.25">
      <c r="A95" s="98">
        <v>86</v>
      </c>
      <c r="B95" s="99">
        <f t="shared" ca="1" si="8"/>
        <v>0</v>
      </c>
      <c r="C95" s="99">
        <f ca="1">OFFSET(CashFlow!$B$35,0,ROW($A95)-ROW($A$9),1,1)</f>
        <v>0</v>
      </c>
      <c r="D95" s="96">
        <f t="shared" ca="1" si="9"/>
        <v>0</v>
      </c>
      <c r="E95" s="96">
        <f t="shared" ca="1" si="10"/>
        <v>0</v>
      </c>
      <c r="F95" s="96">
        <f t="shared" ca="1" si="11"/>
        <v>0</v>
      </c>
      <c r="G95" s="89">
        <f ca="1">IF(ROUND(SUM(B95:C95,-F95),0)=0,0,IF($B$6="Yes",SUM($C$9:C95),SUM(B95:C95,-F95)))</f>
        <v>0</v>
      </c>
    </row>
    <row r="96" spans="1:7" ht="16.149999999999999" customHeight="1" x14ac:dyDescent="0.25">
      <c r="A96" s="98">
        <v>87</v>
      </c>
      <c r="B96" s="99">
        <f t="shared" ca="1" si="8"/>
        <v>0</v>
      </c>
      <c r="C96" s="99">
        <f ca="1">OFFSET(CashFlow!$B$35,0,ROW($A96)-ROW($A$9),1,1)</f>
        <v>0</v>
      </c>
      <c r="D96" s="96">
        <f t="shared" ca="1" si="9"/>
        <v>0</v>
      </c>
      <c r="E96" s="96">
        <f t="shared" ca="1" si="10"/>
        <v>0</v>
      </c>
      <c r="F96" s="96">
        <f t="shared" ca="1" si="11"/>
        <v>0</v>
      </c>
      <c r="G96" s="89">
        <f ca="1">IF(ROUND(SUM(B96:C96,-F96),0)=0,0,IF($B$6="Yes",SUM($C$9:C96),SUM(B96:C96,-F96)))</f>
        <v>0</v>
      </c>
    </row>
    <row r="97" spans="1:7" ht="16.149999999999999" customHeight="1" x14ac:dyDescent="0.25">
      <c r="A97" s="98">
        <v>88</v>
      </c>
      <c r="B97" s="99">
        <f t="shared" ca="1" si="8"/>
        <v>0</v>
      </c>
      <c r="C97" s="99">
        <f ca="1">OFFSET(CashFlow!$B$35,0,ROW($A97)-ROW($A$9),1,1)</f>
        <v>0</v>
      </c>
      <c r="D97" s="96">
        <f t="shared" ca="1" si="9"/>
        <v>0</v>
      </c>
      <c r="E97" s="96">
        <f t="shared" ca="1" si="10"/>
        <v>0</v>
      </c>
      <c r="F97" s="96">
        <f t="shared" ca="1" si="11"/>
        <v>0</v>
      </c>
      <c r="G97" s="89">
        <f ca="1">IF(ROUND(SUM(B97:C97,-F97),0)=0,0,IF($B$6="Yes",SUM($C$9:C97),SUM(B97:C97,-F97)))</f>
        <v>0</v>
      </c>
    </row>
    <row r="98" spans="1:7" ht="16.149999999999999" customHeight="1" x14ac:dyDescent="0.25">
      <c r="A98" s="98">
        <v>89</v>
      </c>
      <c r="B98" s="99">
        <f t="shared" ca="1" si="8"/>
        <v>0</v>
      </c>
      <c r="C98" s="99">
        <f ca="1">OFFSET(CashFlow!$B$35,0,ROW($A98)-ROW($A$9),1,1)</f>
        <v>0</v>
      </c>
      <c r="D98" s="96">
        <f t="shared" ca="1" si="9"/>
        <v>0</v>
      </c>
      <c r="E98" s="96">
        <f t="shared" ca="1" si="10"/>
        <v>0</v>
      </c>
      <c r="F98" s="96">
        <f t="shared" ca="1" si="11"/>
        <v>0</v>
      </c>
      <c r="G98" s="89">
        <f ca="1">IF(ROUND(SUM(B98:C98,-F98),0)=0,0,IF($B$6="Yes",SUM($C$9:C98),SUM(B98:C98,-F98)))</f>
        <v>0</v>
      </c>
    </row>
    <row r="99" spans="1:7" ht="16.149999999999999" customHeight="1" x14ac:dyDescent="0.25">
      <c r="A99" s="98">
        <v>90</v>
      </c>
      <c r="B99" s="99">
        <f t="shared" ca="1" si="8"/>
        <v>0</v>
      </c>
      <c r="C99" s="99">
        <f ca="1">OFFSET(CashFlow!$B$35,0,ROW($A99)-ROW($A$9),1,1)</f>
        <v>0</v>
      </c>
      <c r="D99" s="96">
        <f t="shared" ca="1" si="9"/>
        <v>0</v>
      </c>
      <c r="E99" s="96">
        <f t="shared" ca="1" si="10"/>
        <v>0</v>
      </c>
      <c r="F99" s="96">
        <f t="shared" ca="1" si="11"/>
        <v>0</v>
      </c>
      <c r="G99" s="89">
        <f ca="1">IF(ROUND(SUM(B99:C99,-F99),0)=0,0,IF($B$6="Yes",SUM($C$9:C99),SUM(B99:C99,-F99)))</f>
        <v>0</v>
      </c>
    </row>
    <row r="100" spans="1:7" ht="16.149999999999999" customHeight="1" x14ac:dyDescent="0.25">
      <c r="A100" s="98">
        <v>91</v>
      </c>
      <c r="B100" s="99">
        <f t="shared" ca="1" si="8"/>
        <v>0</v>
      </c>
      <c r="C100" s="99">
        <f ca="1">OFFSET(CashFlow!$B$35,0,ROW($A100)-ROW($A$9),1,1)</f>
        <v>0</v>
      </c>
      <c r="D100" s="96">
        <f t="shared" ca="1" si="9"/>
        <v>0</v>
      </c>
      <c r="E100" s="96">
        <f t="shared" ca="1" si="10"/>
        <v>0</v>
      </c>
      <c r="F100" s="96">
        <f t="shared" ca="1" si="11"/>
        <v>0</v>
      </c>
      <c r="G100" s="89">
        <f ca="1">IF(ROUND(SUM(B100:C100,-F100),0)=0,0,IF($B$6="Yes",SUM($C$9:C100),SUM(B100:C100,-F100)))</f>
        <v>0</v>
      </c>
    </row>
    <row r="101" spans="1:7" ht="16.149999999999999" customHeight="1" x14ac:dyDescent="0.25">
      <c r="A101" s="98">
        <v>92</v>
      </c>
      <c r="B101" s="99">
        <f t="shared" ca="1" si="8"/>
        <v>0</v>
      </c>
      <c r="C101" s="99">
        <f ca="1">OFFSET(CashFlow!$B$35,0,ROW($A101)-ROW($A$9),1,1)</f>
        <v>0</v>
      </c>
      <c r="D101" s="96">
        <f t="shared" ca="1" si="9"/>
        <v>0</v>
      </c>
      <c r="E101" s="96">
        <f t="shared" ca="1" si="10"/>
        <v>0</v>
      </c>
      <c r="F101" s="96">
        <f t="shared" ca="1" si="11"/>
        <v>0</v>
      </c>
      <c r="G101" s="89">
        <f ca="1">IF(ROUND(SUM(B101:C101,-F101),0)=0,0,IF($B$6="Yes",SUM($C$9:C101),SUM(B101:C101,-F101)))</f>
        <v>0</v>
      </c>
    </row>
    <row r="102" spans="1:7" ht="16.149999999999999" customHeight="1" x14ac:dyDescent="0.25">
      <c r="A102" s="98">
        <v>93</v>
      </c>
      <c r="B102" s="99">
        <f t="shared" ca="1" si="8"/>
        <v>0</v>
      </c>
      <c r="C102" s="99">
        <f ca="1">OFFSET(CashFlow!$B$35,0,ROW($A102)-ROW($A$9),1,1)</f>
        <v>0</v>
      </c>
      <c r="D102" s="96">
        <f t="shared" ca="1" si="9"/>
        <v>0</v>
      </c>
      <c r="E102" s="96">
        <f t="shared" ca="1" si="10"/>
        <v>0</v>
      </c>
      <c r="F102" s="96">
        <f t="shared" ca="1" si="11"/>
        <v>0</v>
      </c>
      <c r="G102" s="89">
        <f ca="1">IF(ROUND(SUM(B102:C102,-F102),0)=0,0,IF($B$6="Yes",SUM($C$9:C102),SUM(B102:C102,-F102)))</f>
        <v>0</v>
      </c>
    </row>
    <row r="103" spans="1:7" ht="16.149999999999999" customHeight="1" x14ac:dyDescent="0.25">
      <c r="A103" s="98">
        <v>94</v>
      </c>
      <c r="B103" s="99">
        <f t="shared" ca="1" si="8"/>
        <v>0</v>
      </c>
      <c r="C103" s="99">
        <f ca="1">OFFSET(CashFlow!$B$35,0,ROW($A103)-ROW($A$9),1,1)</f>
        <v>0</v>
      </c>
      <c r="D103" s="96">
        <f t="shared" ca="1" si="9"/>
        <v>0</v>
      </c>
      <c r="E103" s="96">
        <f t="shared" ca="1" si="10"/>
        <v>0</v>
      </c>
      <c r="F103" s="96">
        <f t="shared" ca="1" si="11"/>
        <v>0</v>
      </c>
      <c r="G103" s="89">
        <f ca="1">IF(ROUND(SUM(B103:C103,-F103),0)=0,0,IF($B$6="Yes",SUM($C$9:C103),SUM(B103:C103,-F103)))</f>
        <v>0</v>
      </c>
    </row>
    <row r="104" spans="1:7" ht="16.149999999999999" customHeight="1" x14ac:dyDescent="0.25">
      <c r="A104" s="98">
        <v>95</v>
      </c>
      <c r="B104" s="99">
        <f t="shared" ca="1" si="8"/>
        <v>0</v>
      </c>
      <c r="C104" s="99">
        <f ca="1">OFFSET(CashFlow!$B$35,0,ROW($A104)-ROW($A$9),1,1)</f>
        <v>0</v>
      </c>
      <c r="D104" s="96">
        <f t="shared" ca="1" si="9"/>
        <v>0</v>
      </c>
      <c r="E104" s="96">
        <f t="shared" ca="1" si="10"/>
        <v>0</v>
      </c>
      <c r="F104" s="96">
        <f t="shared" ca="1" si="11"/>
        <v>0</v>
      </c>
      <c r="G104" s="89">
        <f ca="1">IF(ROUND(SUM(B104:C104,-F104),0)=0,0,IF($B$6="Yes",SUM($C$9:C104),SUM(B104:C104,-F104)))</f>
        <v>0</v>
      </c>
    </row>
    <row r="105" spans="1:7" ht="16.149999999999999" customHeight="1" x14ac:dyDescent="0.25">
      <c r="A105" s="98">
        <v>96</v>
      </c>
      <c r="B105" s="99">
        <f t="shared" ca="1" si="8"/>
        <v>0</v>
      </c>
      <c r="C105" s="99">
        <f ca="1">OFFSET(CashFlow!$B$35,0,ROW($A105)-ROW($A$9),1,1)</f>
        <v>0</v>
      </c>
      <c r="D105" s="96">
        <f t="shared" ca="1" si="9"/>
        <v>0</v>
      </c>
      <c r="E105" s="96">
        <f t="shared" ca="1" si="10"/>
        <v>0</v>
      </c>
      <c r="F105" s="96">
        <f t="shared" ca="1" si="11"/>
        <v>0</v>
      </c>
      <c r="G105" s="89">
        <f ca="1">IF(ROUND(SUM(B105:C105,-F105),0)=0,0,IF($B$6="Yes",SUM($C$9:C105),SUM(B105:C105,-F105)))</f>
        <v>0</v>
      </c>
    </row>
    <row r="106" spans="1:7" ht="16.149999999999999" customHeight="1" x14ac:dyDescent="0.25">
      <c r="A106" s="98">
        <v>97</v>
      </c>
      <c r="B106" s="99">
        <f t="shared" ca="1" si="8"/>
        <v>0</v>
      </c>
      <c r="C106" s="99">
        <f ca="1">OFFSET(CashFlow!$B$35,0,ROW($A106)-ROW($A$9),1,1)</f>
        <v>0</v>
      </c>
      <c r="D106" s="96">
        <f t="shared" ca="1" si="9"/>
        <v>0</v>
      </c>
      <c r="E106" s="96">
        <f t="shared" ca="1" si="10"/>
        <v>0</v>
      </c>
      <c r="F106" s="96">
        <f t="shared" ca="1" si="11"/>
        <v>0</v>
      </c>
      <c r="G106" s="89">
        <f ca="1">IF(ROUND(SUM(B106:C106,-F106),0)=0,0,IF($B$6="Yes",SUM($C$9:C106),SUM(B106:C106,-F106)))</f>
        <v>0</v>
      </c>
    </row>
    <row r="107" spans="1:7" ht="16.149999999999999" customHeight="1" x14ac:dyDescent="0.25">
      <c r="A107" s="98">
        <v>98</v>
      </c>
      <c r="B107" s="99">
        <f t="shared" ca="1" si="8"/>
        <v>0</v>
      </c>
      <c r="C107" s="99">
        <f ca="1">OFFSET(CashFlow!$B$35,0,ROW($A107)-ROW($A$9),1,1)</f>
        <v>0</v>
      </c>
      <c r="D107" s="96">
        <f t="shared" ca="1" si="9"/>
        <v>0</v>
      </c>
      <c r="E107" s="96">
        <f t="shared" ca="1" si="10"/>
        <v>0</v>
      </c>
      <c r="F107" s="96">
        <f t="shared" ca="1" si="11"/>
        <v>0</v>
      </c>
      <c r="G107" s="89">
        <f ca="1">IF(ROUND(SUM(B107:C107,-F107),0)=0,0,IF($B$6="Yes",SUM($C$9:C107),SUM(B107:C107,-F107)))</f>
        <v>0</v>
      </c>
    </row>
    <row r="108" spans="1:7" ht="16.149999999999999" customHeight="1" x14ac:dyDescent="0.25">
      <c r="A108" s="98">
        <v>99</v>
      </c>
      <c r="B108" s="99">
        <f t="shared" ca="1" si="8"/>
        <v>0</v>
      </c>
      <c r="C108" s="99">
        <f ca="1">OFFSET(CashFlow!$B$35,0,ROW($A108)-ROW($A$9),1,1)</f>
        <v>0</v>
      </c>
      <c r="D108" s="96">
        <f t="shared" ca="1" si="9"/>
        <v>0</v>
      </c>
      <c r="E108" s="96">
        <f t="shared" ca="1" si="10"/>
        <v>0</v>
      </c>
      <c r="F108" s="96">
        <f t="shared" ca="1" si="11"/>
        <v>0</v>
      </c>
      <c r="G108" s="89">
        <f ca="1">IF(ROUND(SUM(B108:C108,-F108),0)=0,0,IF($B$6="Yes",SUM($C$9:C108),SUM(B108:C108,-F108)))</f>
        <v>0</v>
      </c>
    </row>
    <row r="109" spans="1:7" ht="16.149999999999999" customHeight="1" x14ac:dyDescent="0.25">
      <c r="A109" s="98">
        <v>100</v>
      </c>
      <c r="B109" s="99">
        <f t="shared" ca="1" si="8"/>
        <v>0</v>
      </c>
      <c r="C109" s="99">
        <f ca="1">OFFSET(CashFlow!$B$35,0,ROW($A109)-ROW($A$9),1,1)</f>
        <v>0</v>
      </c>
      <c r="D109" s="96">
        <f t="shared" ca="1" si="9"/>
        <v>0</v>
      </c>
      <c r="E109" s="96">
        <f t="shared" ca="1" si="10"/>
        <v>0</v>
      </c>
      <c r="F109" s="96">
        <f t="shared" ca="1" si="11"/>
        <v>0</v>
      </c>
      <c r="G109" s="89">
        <f ca="1">IF(ROUND(SUM(B109:C109,-F109),0)=0,0,IF($B$6="Yes",SUM($C$9:C109),SUM(B109:C109,-F109)))</f>
        <v>0</v>
      </c>
    </row>
    <row r="110" spans="1:7" ht="16.149999999999999" customHeight="1" x14ac:dyDescent="0.25">
      <c r="A110" s="98">
        <v>101</v>
      </c>
      <c r="B110" s="99">
        <f t="shared" ca="1" si="8"/>
        <v>0</v>
      </c>
      <c r="C110" s="99">
        <f ca="1">OFFSET(CashFlow!$B$35,0,ROW($A110)-ROW($A$9),1,1)</f>
        <v>0</v>
      </c>
      <c r="D110" s="96">
        <f t="shared" ca="1" si="9"/>
        <v>0</v>
      </c>
      <c r="E110" s="96">
        <f t="shared" ca="1" si="10"/>
        <v>0</v>
      </c>
      <c r="F110" s="96">
        <f t="shared" ca="1" si="11"/>
        <v>0</v>
      </c>
      <c r="G110" s="89">
        <f ca="1">IF(ROUND(SUM(B110:C110,-F110),0)=0,0,IF($B$6="Yes",SUM($C$9:C110),SUM(B110:C110,-F110)))</f>
        <v>0</v>
      </c>
    </row>
    <row r="111" spans="1:7" ht="16.149999999999999" customHeight="1" x14ac:dyDescent="0.25">
      <c r="A111" s="98">
        <v>102</v>
      </c>
      <c r="B111" s="99">
        <f t="shared" ca="1" si="8"/>
        <v>0</v>
      </c>
      <c r="C111" s="99">
        <f ca="1">OFFSET(CashFlow!$B$35,0,ROW($A111)-ROW($A$9),1,1)</f>
        <v>0</v>
      </c>
      <c r="D111" s="96">
        <f t="shared" ca="1" si="9"/>
        <v>0</v>
      </c>
      <c r="E111" s="96">
        <f t="shared" ca="1" si="10"/>
        <v>0</v>
      </c>
      <c r="F111" s="96">
        <f t="shared" ca="1" si="11"/>
        <v>0</v>
      </c>
      <c r="G111" s="89">
        <f ca="1">IF(ROUND(SUM(B111:C111,-F111),0)=0,0,IF($B$6="Yes",SUM($C$9:C111),SUM(B111:C111,-F111)))</f>
        <v>0</v>
      </c>
    </row>
    <row r="112" spans="1:7" ht="16.149999999999999" customHeight="1" x14ac:dyDescent="0.25">
      <c r="A112" s="98">
        <v>103</v>
      </c>
      <c r="B112" s="99">
        <f t="shared" ca="1" si="8"/>
        <v>0</v>
      </c>
      <c r="C112" s="99">
        <f ca="1">OFFSET(CashFlow!$B$35,0,ROW($A112)-ROW($A$9),1,1)</f>
        <v>0</v>
      </c>
      <c r="D112" s="96">
        <f t="shared" ca="1" si="9"/>
        <v>0</v>
      </c>
      <c r="E112" s="96">
        <f t="shared" ca="1" si="10"/>
        <v>0</v>
      </c>
      <c r="F112" s="96">
        <f t="shared" ca="1" si="11"/>
        <v>0</v>
      </c>
      <c r="G112" s="89">
        <f ca="1">IF(ROUND(SUM(B112:C112,-F112),0)=0,0,IF($B$6="Yes",SUM($C$9:C112),SUM(B112:C112,-F112)))</f>
        <v>0</v>
      </c>
    </row>
    <row r="113" spans="1:7" ht="16.149999999999999" customHeight="1" x14ac:dyDescent="0.25">
      <c r="A113" s="98">
        <v>104</v>
      </c>
      <c r="B113" s="99">
        <f t="shared" ca="1" si="8"/>
        <v>0</v>
      </c>
      <c r="C113" s="99">
        <f ca="1">OFFSET(CashFlow!$B$35,0,ROW($A113)-ROW($A$9),1,1)</f>
        <v>0</v>
      </c>
      <c r="D113" s="96">
        <f t="shared" ca="1" si="9"/>
        <v>0</v>
      </c>
      <c r="E113" s="96">
        <f t="shared" ca="1" si="10"/>
        <v>0</v>
      </c>
      <c r="F113" s="96">
        <f t="shared" ca="1" si="11"/>
        <v>0</v>
      </c>
      <c r="G113" s="89">
        <f ca="1">IF(ROUND(SUM(B113:C113,-F113),0)=0,0,IF($B$6="Yes",SUM($C$9:C113),SUM(B113:C113,-F113)))</f>
        <v>0</v>
      </c>
    </row>
    <row r="114" spans="1:7" ht="16.149999999999999" customHeight="1" x14ac:dyDescent="0.25">
      <c r="A114" s="98">
        <v>105</v>
      </c>
      <c r="B114" s="99">
        <f t="shared" ca="1" si="8"/>
        <v>0</v>
      </c>
      <c r="C114" s="99">
        <f ca="1">OFFSET(CashFlow!$B$35,0,ROW($A114)-ROW($A$9),1,1)</f>
        <v>0</v>
      </c>
      <c r="D114" s="96">
        <f t="shared" ca="1" si="9"/>
        <v>0</v>
      </c>
      <c r="E114" s="96">
        <f t="shared" ca="1" si="10"/>
        <v>0</v>
      </c>
      <c r="F114" s="96">
        <f t="shared" ca="1" si="11"/>
        <v>0</v>
      </c>
      <c r="G114" s="89">
        <f ca="1">IF(ROUND(SUM(B114:C114,-F114),0)=0,0,IF($B$6="Yes",SUM($C$9:C114),SUM(B114:C114,-F114)))</f>
        <v>0</v>
      </c>
    </row>
    <row r="115" spans="1:7" ht="16.149999999999999" customHeight="1" x14ac:dyDescent="0.25">
      <c r="A115" s="98">
        <v>106</v>
      </c>
      <c r="B115" s="99">
        <f t="shared" ca="1" si="8"/>
        <v>0</v>
      </c>
      <c r="C115" s="99">
        <f ca="1">OFFSET(CashFlow!$B$35,0,ROW($A115)-ROW($A$9),1,1)</f>
        <v>0</v>
      </c>
      <c r="D115" s="96">
        <f t="shared" ca="1" si="9"/>
        <v>0</v>
      </c>
      <c r="E115" s="96">
        <f t="shared" ca="1" si="10"/>
        <v>0</v>
      </c>
      <c r="F115" s="96">
        <f t="shared" ca="1" si="11"/>
        <v>0</v>
      </c>
      <c r="G115" s="89">
        <f ca="1">IF(ROUND(SUM(B115:C115,-F115),0)=0,0,IF($B$6="Yes",SUM($C$9:C115),SUM(B115:C115,-F115)))</f>
        <v>0</v>
      </c>
    </row>
    <row r="116" spans="1:7" ht="16.149999999999999" customHeight="1" x14ac:dyDescent="0.25">
      <c r="A116" s="98">
        <v>107</v>
      </c>
      <c r="B116" s="99">
        <f t="shared" ca="1" si="8"/>
        <v>0</v>
      </c>
      <c r="C116" s="99">
        <f ca="1">OFFSET(CashFlow!$B$35,0,ROW($A116)-ROW($A$9),1,1)</f>
        <v>0</v>
      </c>
      <c r="D116" s="96">
        <f t="shared" ca="1" si="9"/>
        <v>0</v>
      </c>
      <c r="E116" s="96">
        <f t="shared" ca="1" si="10"/>
        <v>0</v>
      </c>
      <c r="F116" s="96">
        <f t="shared" ca="1" si="11"/>
        <v>0</v>
      </c>
      <c r="G116" s="89">
        <f ca="1">IF(ROUND(SUM(B116:C116,-F116),0)=0,0,IF($B$6="Yes",SUM($C$9:C116),SUM(B116:C116,-F116)))</f>
        <v>0</v>
      </c>
    </row>
    <row r="117" spans="1:7" ht="16.149999999999999" customHeight="1" x14ac:dyDescent="0.25">
      <c r="A117" s="98">
        <v>108</v>
      </c>
      <c r="B117" s="99">
        <f t="shared" ca="1" si="8"/>
        <v>0</v>
      </c>
      <c r="C117" s="99">
        <f ca="1">OFFSET(CashFlow!$B$35,0,ROW($A117)-ROW($A$9),1,1)</f>
        <v>0</v>
      </c>
      <c r="D117" s="96">
        <f t="shared" ca="1" si="9"/>
        <v>0</v>
      </c>
      <c r="E117" s="96">
        <f t="shared" ca="1" si="10"/>
        <v>0</v>
      </c>
      <c r="F117" s="96">
        <f t="shared" ca="1" si="11"/>
        <v>0</v>
      </c>
      <c r="G117" s="89">
        <f ca="1">IF(ROUND(SUM(B117:C117,-F117),0)=0,0,IF($B$6="Yes",SUM($C$9:C117),SUM(B117:C117,-F117)))</f>
        <v>0</v>
      </c>
    </row>
    <row r="118" spans="1:7" ht="16.149999999999999" customHeight="1" x14ac:dyDescent="0.25">
      <c r="A118" s="98">
        <v>109</v>
      </c>
      <c r="B118" s="99">
        <f t="shared" ca="1" si="8"/>
        <v>0</v>
      </c>
      <c r="C118" s="99">
        <f ca="1">OFFSET(CashFlow!$B$35,0,ROW($A118)-ROW($A$9),1,1)</f>
        <v>0</v>
      </c>
      <c r="D118" s="96">
        <f t="shared" ca="1" si="9"/>
        <v>0</v>
      </c>
      <c r="E118" s="96">
        <f t="shared" ca="1" si="10"/>
        <v>0</v>
      </c>
      <c r="F118" s="96">
        <f t="shared" ca="1" si="11"/>
        <v>0</v>
      </c>
      <c r="G118" s="89">
        <f ca="1">IF(ROUND(SUM(B118:C118,-F118),0)=0,0,IF($B$6="Yes",SUM($C$9:C118),SUM(B118:C118,-F118)))</f>
        <v>0</v>
      </c>
    </row>
    <row r="119" spans="1:7" ht="16.149999999999999" customHeight="1" x14ac:dyDescent="0.25">
      <c r="A119" s="98">
        <v>110</v>
      </c>
      <c r="B119" s="99">
        <f t="shared" ca="1" si="8"/>
        <v>0</v>
      </c>
      <c r="C119" s="99">
        <f ca="1">OFFSET(CashFlow!$B$35,0,ROW($A119)-ROW($A$9),1,1)</f>
        <v>0</v>
      </c>
      <c r="D119" s="96">
        <f t="shared" ca="1" si="9"/>
        <v>0</v>
      </c>
      <c r="E119" s="96">
        <f t="shared" ca="1" si="10"/>
        <v>0</v>
      </c>
      <c r="F119" s="96">
        <f t="shared" ca="1" si="11"/>
        <v>0</v>
      </c>
      <c r="G119" s="89">
        <f ca="1">IF(ROUND(SUM(B119:C119,-F119),0)=0,0,IF($B$6="Yes",SUM($C$9:C119),SUM(B119:C119,-F119)))</f>
        <v>0</v>
      </c>
    </row>
    <row r="120" spans="1:7" ht="16.149999999999999" customHeight="1" x14ac:dyDescent="0.25">
      <c r="A120" s="98">
        <v>111</v>
      </c>
      <c r="B120" s="99">
        <f t="shared" ca="1" si="8"/>
        <v>0</v>
      </c>
      <c r="C120" s="99">
        <f ca="1">OFFSET(CashFlow!$B$35,0,ROW($A120)-ROW($A$9),1,1)</f>
        <v>0</v>
      </c>
      <c r="D120" s="96">
        <f t="shared" ca="1" si="9"/>
        <v>0</v>
      </c>
      <c r="E120" s="96">
        <f t="shared" ca="1" si="10"/>
        <v>0</v>
      </c>
      <c r="F120" s="96">
        <f t="shared" ca="1" si="11"/>
        <v>0</v>
      </c>
      <c r="G120" s="89">
        <f ca="1">IF(ROUND(SUM(B120:C120,-F120),0)=0,0,IF($B$6="Yes",SUM($C$9:C120),SUM(B120:C120,-F120)))</f>
        <v>0</v>
      </c>
    </row>
    <row r="121" spans="1:7" ht="16.149999999999999" customHeight="1" x14ac:dyDescent="0.25">
      <c r="A121" s="98">
        <v>112</v>
      </c>
      <c r="B121" s="99">
        <f t="shared" ca="1" si="8"/>
        <v>0</v>
      </c>
      <c r="C121" s="99">
        <f ca="1">OFFSET(CashFlow!$B$35,0,ROW($A121)-ROW($A$9),1,1)</f>
        <v>0</v>
      </c>
      <c r="D121" s="96">
        <f t="shared" ca="1" si="9"/>
        <v>0</v>
      </c>
      <c r="E121" s="96">
        <f t="shared" ca="1" si="10"/>
        <v>0</v>
      </c>
      <c r="F121" s="96">
        <f t="shared" ca="1" si="11"/>
        <v>0</v>
      </c>
      <c r="G121" s="89">
        <f ca="1">IF(ROUND(SUM(B121:C121,-F121),0)=0,0,IF($B$6="Yes",SUM($C$9:C121),SUM(B121:C121,-F121)))</f>
        <v>0</v>
      </c>
    </row>
    <row r="122" spans="1:7" ht="16.149999999999999" customHeight="1" x14ac:dyDescent="0.25">
      <c r="A122" s="98">
        <v>113</v>
      </c>
      <c r="B122" s="99">
        <f t="shared" ca="1" si="8"/>
        <v>0</v>
      </c>
      <c r="C122" s="99">
        <f ca="1">OFFSET(CashFlow!$B$35,0,ROW($A122)-ROW($A$9),1,1)</f>
        <v>0</v>
      </c>
      <c r="D122" s="96">
        <f t="shared" ca="1" si="9"/>
        <v>0</v>
      </c>
      <c r="E122" s="96">
        <f t="shared" ca="1" si="10"/>
        <v>0</v>
      </c>
      <c r="F122" s="96">
        <f t="shared" ca="1" si="11"/>
        <v>0</v>
      </c>
      <c r="G122" s="89">
        <f ca="1">IF(ROUND(SUM(B122:C122,-F122),0)=0,0,IF($B$6="Yes",SUM($C$9:C122),SUM(B122:C122,-F122)))</f>
        <v>0</v>
      </c>
    </row>
    <row r="123" spans="1:7" ht="16.149999999999999" customHeight="1" x14ac:dyDescent="0.25">
      <c r="A123" s="98">
        <v>114</v>
      </c>
      <c r="B123" s="99">
        <f t="shared" ca="1" si="8"/>
        <v>0</v>
      </c>
      <c r="C123" s="99">
        <f ca="1">OFFSET(CashFlow!$B$35,0,ROW($A123)-ROW($A$9),1,1)</f>
        <v>0</v>
      </c>
      <c r="D123" s="96">
        <f t="shared" ca="1" si="9"/>
        <v>0</v>
      </c>
      <c r="E123" s="96">
        <f t="shared" ca="1" si="10"/>
        <v>0</v>
      </c>
      <c r="F123" s="96">
        <f t="shared" ca="1" si="11"/>
        <v>0</v>
      </c>
      <c r="G123" s="89">
        <f ca="1">IF(ROUND(SUM(B123:C123,-F123),0)=0,0,IF($B$6="Yes",SUM($C$9:C123),SUM(B123:C123,-F123)))</f>
        <v>0</v>
      </c>
    </row>
    <row r="124" spans="1:7" ht="16.149999999999999" customHeight="1" x14ac:dyDescent="0.25">
      <c r="A124" s="98">
        <v>115</v>
      </c>
      <c r="B124" s="99">
        <f t="shared" ca="1" si="8"/>
        <v>0</v>
      </c>
      <c r="C124" s="99">
        <f ca="1">OFFSET(CashFlow!$B$35,0,ROW($A124)-ROW($A$9),1,1)</f>
        <v>0</v>
      </c>
      <c r="D124" s="96">
        <f t="shared" ca="1" si="9"/>
        <v>0</v>
      </c>
      <c r="E124" s="96">
        <f t="shared" ca="1" si="10"/>
        <v>0</v>
      </c>
      <c r="F124" s="96">
        <f t="shared" ca="1" si="11"/>
        <v>0</v>
      </c>
      <c r="G124" s="89">
        <f ca="1">IF(ROUND(SUM(B124:C124,-F124),0)=0,0,IF($B$6="Yes",SUM($C$9:C124),SUM(B124:C124,-F124)))</f>
        <v>0</v>
      </c>
    </row>
    <row r="125" spans="1:7" ht="16.149999999999999" customHeight="1" x14ac:dyDescent="0.25">
      <c r="A125" s="98">
        <v>116</v>
      </c>
      <c r="B125" s="99">
        <f t="shared" ca="1" si="8"/>
        <v>0</v>
      </c>
      <c r="C125" s="99">
        <f ca="1">OFFSET(CashFlow!$B$35,0,ROW($A125)-ROW($A$9),1,1)</f>
        <v>0</v>
      </c>
      <c r="D125" s="96">
        <f t="shared" ca="1" si="9"/>
        <v>0</v>
      </c>
      <c r="E125" s="96">
        <f t="shared" ca="1" si="10"/>
        <v>0</v>
      </c>
      <c r="F125" s="96">
        <f t="shared" ca="1" si="11"/>
        <v>0</v>
      </c>
      <c r="G125" s="89">
        <f ca="1">IF(ROUND(SUM(B125:C125,-F125),0)=0,0,IF($B$6="Yes",SUM($C$9:C125),SUM(B125:C125,-F125)))</f>
        <v>0</v>
      </c>
    </row>
    <row r="126" spans="1:7" ht="16.149999999999999" customHeight="1" x14ac:dyDescent="0.25">
      <c r="A126" s="98">
        <v>117</v>
      </c>
      <c r="B126" s="99">
        <f t="shared" ca="1" si="8"/>
        <v>0</v>
      </c>
      <c r="C126" s="99">
        <f ca="1">OFFSET(CashFlow!$B$35,0,ROW($A126)-ROW($A$9),1,1)</f>
        <v>0</v>
      </c>
      <c r="D126" s="96">
        <f t="shared" ca="1" si="9"/>
        <v>0</v>
      </c>
      <c r="E126" s="96">
        <f t="shared" ca="1" si="10"/>
        <v>0</v>
      </c>
      <c r="F126" s="96">
        <f t="shared" ca="1" si="11"/>
        <v>0</v>
      </c>
      <c r="G126" s="89">
        <f ca="1">IF(ROUND(SUM(B126:C126,-F126),0)=0,0,IF($B$6="Yes",SUM($C$9:C126),SUM(B126:C126,-F126)))</f>
        <v>0</v>
      </c>
    </row>
    <row r="127" spans="1:7" ht="16.149999999999999" customHeight="1" x14ac:dyDescent="0.25">
      <c r="A127" s="98">
        <v>118</v>
      </c>
      <c r="B127" s="99">
        <f t="shared" ca="1" si="8"/>
        <v>0</v>
      </c>
      <c r="C127" s="99">
        <f ca="1">OFFSET(CashFlow!$B$35,0,ROW($A127)-ROW($A$9),1,1)</f>
        <v>0</v>
      </c>
      <c r="D127" s="96">
        <f t="shared" ca="1" si="9"/>
        <v>0</v>
      </c>
      <c r="E127" s="96">
        <f t="shared" ca="1" si="10"/>
        <v>0</v>
      </c>
      <c r="F127" s="96">
        <f t="shared" ca="1" si="11"/>
        <v>0</v>
      </c>
      <c r="G127" s="89">
        <f ca="1">IF(ROUND(SUM(B127:C127,-F127),0)=0,0,IF($B$6="Yes",SUM($C$9:C127),SUM(B127:C127,-F127)))</f>
        <v>0</v>
      </c>
    </row>
    <row r="128" spans="1:7" ht="16.149999999999999" customHeight="1" x14ac:dyDescent="0.25">
      <c r="A128" s="98">
        <v>119</v>
      </c>
      <c r="B128" s="99">
        <f t="shared" ca="1" si="8"/>
        <v>0</v>
      </c>
      <c r="C128" s="99">
        <f ca="1">OFFSET(CashFlow!$B$35,0,ROW($A128)-ROW($A$9),1,1)</f>
        <v>0</v>
      </c>
      <c r="D128" s="96">
        <f t="shared" ca="1" si="9"/>
        <v>0</v>
      </c>
      <c r="E128" s="96">
        <f t="shared" ca="1" si="10"/>
        <v>0</v>
      </c>
      <c r="F128" s="96">
        <f t="shared" ca="1" si="11"/>
        <v>0</v>
      </c>
      <c r="G128" s="89">
        <f ca="1">IF(ROUND(SUM(B128:C128,-F128),0)=0,0,IF($B$6="Yes",SUM($C$9:C128),SUM(B128:C128,-F128)))</f>
        <v>0</v>
      </c>
    </row>
    <row r="129" spans="1:7" ht="16.149999999999999" customHeight="1" x14ac:dyDescent="0.25">
      <c r="A129" s="98">
        <v>120</v>
      </c>
      <c r="B129" s="99">
        <f t="shared" ca="1" si="8"/>
        <v>0</v>
      </c>
      <c r="C129" s="99">
        <f ca="1">OFFSET(CashFlow!$B$35,0,ROW($A129)-ROW($A$9),1,1)</f>
        <v>0</v>
      </c>
      <c r="D129" s="96">
        <f t="shared" ca="1" si="9"/>
        <v>0</v>
      </c>
      <c r="E129" s="96">
        <f t="shared" ca="1" si="10"/>
        <v>0</v>
      </c>
      <c r="F129" s="96">
        <f t="shared" ca="1" si="11"/>
        <v>0</v>
      </c>
      <c r="G129" s="89">
        <f ca="1">IF(ROUND(SUM(B129:C129,-F129),0)=0,0,IF($B$6="Yes",SUM($C$9:C129),SUM(B129:C129,-F129)))</f>
        <v>0</v>
      </c>
    </row>
    <row r="130" spans="1:7" ht="16.149999999999999" customHeight="1" x14ac:dyDescent="0.25">
      <c r="A130" s="98">
        <v>121</v>
      </c>
      <c r="B130" s="99">
        <f t="shared" ca="1" si="8"/>
        <v>0</v>
      </c>
      <c r="C130" s="99">
        <f ca="1">OFFSET(CashFlow!$B$35,0,ROW($A130)-ROW($A$9),1,1)</f>
        <v>0</v>
      </c>
      <c r="D130" s="96">
        <f t="shared" ca="1" si="9"/>
        <v>0</v>
      </c>
      <c r="E130" s="96">
        <f t="shared" ca="1" si="10"/>
        <v>0</v>
      </c>
      <c r="F130" s="96">
        <f t="shared" ca="1" si="11"/>
        <v>0</v>
      </c>
      <c r="G130" s="89">
        <f ca="1">IF(ROUND(SUM(B130:C130,-F130),0)=0,0,IF($B$6="Yes",SUM($C$9:C130),SUM(B130:C130,-F130)))</f>
        <v>0</v>
      </c>
    </row>
    <row r="131" spans="1:7" ht="16.149999999999999" customHeight="1" x14ac:dyDescent="0.25">
      <c r="A131" s="98">
        <v>122</v>
      </c>
      <c r="B131" s="99">
        <f t="shared" ca="1" si="8"/>
        <v>0</v>
      </c>
      <c r="C131" s="99">
        <f ca="1">OFFSET(CashFlow!$B$35,0,ROW($A131)-ROW($A$9),1,1)</f>
        <v>0</v>
      </c>
      <c r="D131" s="96">
        <f t="shared" ca="1" si="9"/>
        <v>0</v>
      </c>
      <c r="E131" s="96">
        <f t="shared" ca="1" si="10"/>
        <v>0</v>
      </c>
      <c r="F131" s="96">
        <f t="shared" ca="1" si="11"/>
        <v>0</v>
      </c>
      <c r="G131" s="89">
        <f ca="1">IF(ROUND(SUM(B131:C131,-F131),0)=0,0,IF($B$6="Yes",SUM($C$9:C131),SUM(B131:C131,-F131)))</f>
        <v>0</v>
      </c>
    </row>
    <row r="132" spans="1:7" ht="16.149999999999999" customHeight="1" x14ac:dyDescent="0.25">
      <c r="A132" s="98">
        <v>123</v>
      </c>
      <c r="B132" s="99">
        <f t="shared" ca="1" si="8"/>
        <v>0</v>
      </c>
      <c r="C132" s="99">
        <f ca="1">OFFSET(CashFlow!$B$35,0,ROW($A132)-ROW($A$9),1,1)</f>
        <v>0</v>
      </c>
      <c r="D132" s="96">
        <f t="shared" ca="1" si="9"/>
        <v>0</v>
      </c>
      <c r="E132" s="96">
        <f t="shared" ca="1" si="10"/>
        <v>0</v>
      </c>
      <c r="F132" s="96">
        <f t="shared" ca="1" si="11"/>
        <v>0</v>
      </c>
      <c r="G132" s="89">
        <f ca="1">IF(ROUND(SUM(B132:C132,-F132),0)=0,0,IF($B$6="Yes",SUM($C$9:C132),SUM(B132:C132,-F132)))</f>
        <v>0</v>
      </c>
    </row>
    <row r="133" spans="1:7" ht="16.149999999999999" customHeight="1" x14ac:dyDescent="0.25">
      <c r="A133" s="98">
        <v>124</v>
      </c>
      <c r="B133" s="99">
        <f t="shared" ca="1" si="8"/>
        <v>0</v>
      </c>
      <c r="C133" s="99">
        <f ca="1">OFFSET(CashFlow!$B$35,0,ROW($A133)-ROW($A$9),1,1)</f>
        <v>0</v>
      </c>
      <c r="D133" s="96">
        <f t="shared" ca="1" si="9"/>
        <v>0</v>
      </c>
      <c r="E133" s="96">
        <f t="shared" ca="1" si="10"/>
        <v>0</v>
      </c>
      <c r="F133" s="96">
        <f t="shared" ca="1" si="11"/>
        <v>0</v>
      </c>
      <c r="G133" s="89">
        <f ca="1">IF(ROUND(SUM(B133:C133,-F133),0)=0,0,IF($B$6="Yes",SUM($C$9:C133),SUM(B133:C133,-F133)))</f>
        <v>0</v>
      </c>
    </row>
    <row r="134" spans="1:7" ht="16.149999999999999" customHeight="1" x14ac:dyDescent="0.25">
      <c r="A134" s="98">
        <v>125</v>
      </c>
      <c r="B134" s="99">
        <f t="shared" ca="1" si="8"/>
        <v>0</v>
      </c>
      <c r="C134" s="99">
        <f ca="1">OFFSET(CashFlow!$B$35,0,ROW($A134)-ROW($A$9),1,1)</f>
        <v>0</v>
      </c>
      <c r="D134" s="96">
        <f t="shared" ca="1" si="9"/>
        <v>0</v>
      </c>
      <c r="E134" s="96">
        <f t="shared" ca="1" si="10"/>
        <v>0</v>
      </c>
      <c r="F134" s="96">
        <f t="shared" ca="1" si="11"/>
        <v>0</v>
      </c>
      <c r="G134" s="89">
        <f ca="1">IF(ROUND(SUM(B134:C134,-F134),0)=0,0,IF($B$6="Yes",SUM($C$9:C134),SUM(B134:C134,-F134)))</f>
        <v>0</v>
      </c>
    </row>
    <row r="135" spans="1:7" ht="16.149999999999999" customHeight="1" x14ac:dyDescent="0.25">
      <c r="A135" s="98">
        <v>126</v>
      </c>
      <c r="B135" s="99">
        <f t="shared" ca="1" si="8"/>
        <v>0</v>
      </c>
      <c r="C135" s="99">
        <f ca="1">OFFSET(CashFlow!$B$35,0,ROW($A135)-ROW($A$9),1,1)</f>
        <v>0</v>
      </c>
      <c r="D135" s="96">
        <f t="shared" ca="1" si="9"/>
        <v>0</v>
      </c>
      <c r="E135" s="96">
        <f t="shared" ca="1" si="10"/>
        <v>0</v>
      </c>
      <c r="F135" s="96">
        <f t="shared" ca="1" si="11"/>
        <v>0</v>
      </c>
      <c r="G135" s="89">
        <f ca="1">IF(ROUND(SUM(B135:C135,-F135),0)=0,0,IF($B$6="Yes",SUM($C$9:C135),SUM(B135:C135,-F135)))</f>
        <v>0</v>
      </c>
    </row>
    <row r="136" spans="1:7" ht="16.149999999999999" customHeight="1" x14ac:dyDescent="0.25">
      <c r="A136" s="98">
        <v>127</v>
      </c>
      <c r="B136" s="99">
        <f t="shared" ca="1" si="8"/>
        <v>0</v>
      </c>
      <c r="C136" s="99">
        <f ca="1">OFFSET(CashFlow!$B$35,0,ROW($A136)-ROW($A$9),1,1)</f>
        <v>0</v>
      </c>
      <c r="D136" s="96">
        <f t="shared" ca="1" si="9"/>
        <v>0</v>
      </c>
      <c r="E136" s="96">
        <f t="shared" ca="1" si="10"/>
        <v>0</v>
      </c>
      <c r="F136" s="96">
        <f t="shared" ca="1" si="11"/>
        <v>0</v>
      </c>
      <c r="G136" s="89">
        <f ca="1">IF(ROUND(SUM(B136:C136,-F136),0)=0,0,IF($B$6="Yes",SUM($C$9:C136),SUM(B136:C136,-F136)))</f>
        <v>0</v>
      </c>
    </row>
    <row r="137" spans="1:7" ht="16.149999999999999" customHeight="1" x14ac:dyDescent="0.25">
      <c r="A137" s="98">
        <v>128</v>
      </c>
      <c r="B137" s="99">
        <f t="shared" ca="1" si="8"/>
        <v>0</v>
      </c>
      <c r="C137" s="99">
        <f ca="1">OFFSET(CashFlow!$B$35,0,ROW($A137)-ROW($A$9),1,1)</f>
        <v>0</v>
      </c>
      <c r="D137" s="96">
        <f t="shared" ca="1" si="9"/>
        <v>0</v>
      </c>
      <c r="E137" s="96">
        <f t="shared" ca="1" si="10"/>
        <v>0</v>
      </c>
      <c r="F137" s="96">
        <f t="shared" ca="1" si="11"/>
        <v>0</v>
      </c>
      <c r="G137" s="89">
        <f ca="1">IF(ROUND(SUM(B137:C137,-F137),0)=0,0,IF($B$6="Yes",SUM($C$9:C137),SUM(B137:C137,-F137)))</f>
        <v>0</v>
      </c>
    </row>
    <row r="138" spans="1:7" ht="16.149999999999999" customHeight="1" x14ac:dyDescent="0.25">
      <c r="A138" s="98">
        <v>129</v>
      </c>
      <c r="B138" s="99">
        <f t="shared" ca="1" si="8"/>
        <v>0</v>
      </c>
      <c r="C138" s="99">
        <f ca="1">OFFSET(CashFlow!$B$35,0,ROW($A138)-ROW($A$9),1,1)</f>
        <v>0</v>
      </c>
      <c r="D138" s="96">
        <f t="shared" ca="1" si="9"/>
        <v>0</v>
      </c>
      <c r="E138" s="96">
        <f t="shared" ca="1" si="10"/>
        <v>0</v>
      </c>
      <c r="F138" s="96">
        <f t="shared" ca="1" si="11"/>
        <v>0</v>
      </c>
      <c r="G138" s="89">
        <f ca="1">IF(ROUND(SUM(B138:C138,-F138),0)=0,0,IF($B$6="Yes",SUM($C$9:C138),SUM(B138:C138,-F138)))</f>
        <v>0</v>
      </c>
    </row>
    <row r="139" spans="1:7" ht="16.149999999999999" customHeight="1" x14ac:dyDescent="0.25">
      <c r="A139" s="98">
        <v>130</v>
      </c>
      <c r="B139" s="99">
        <f t="shared" ca="1" si="8"/>
        <v>0</v>
      </c>
      <c r="C139" s="99">
        <f ca="1">OFFSET(CashFlow!$B$35,0,ROW($A139)-ROW($A$9),1,1)</f>
        <v>0</v>
      </c>
      <c r="D139" s="96">
        <f t="shared" ca="1" si="9"/>
        <v>0</v>
      </c>
      <c r="E139" s="96">
        <f t="shared" ca="1" si="10"/>
        <v>0</v>
      </c>
      <c r="F139" s="96">
        <f t="shared" ca="1" si="11"/>
        <v>0</v>
      </c>
      <c r="G139" s="89">
        <f ca="1">IF(ROUND(SUM(B139:C139,-F139),0)=0,0,IF($B$6="Yes",SUM($C$9:C139),SUM(B139:C139,-F139)))</f>
        <v>0</v>
      </c>
    </row>
    <row r="140" spans="1:7" ht="16.149999999999999" customHeight="1" x14ac:dyDescent="0.25">
      <c r="A140" s="98">
        <v>131</v>
      </c>
      <c r="B140" s="99">
        <f t="shared" ca="1" si="8"/>
        <v>0</v>
      </c>
      <c r="C140" s="99">
        <f ca="1">OFFSET(CashFlow!$B$35,0,ROW($A140)-ROW($A$9),1,1)</f>
        <v>0</v>
      </c>
      <c r="D140" s="96">
        <f t="shared" ca="1" si="9"/>
        <v>0</v>
      </c>
      <c r="E140" s="96">
        <f t="shared" ca="1" si="10"/>
        <v>0</v>
      </c>
      <c r="F140" s="96">
        <f t="shared" ca="1" si="11"/>
        <v>0</v>
      </c>
      <c r="G140" s="89">
        <f ca="1">IF(ROUND(SUM(B140:C140,-F140),0)=0,0,IF($B$6="Yes",SUM($C$9:C140),SUM(B140:C140,-F140)))</f>
        <v>0</v>
      </c>
    </row>
    <row r="141" spans="1:7" ht="16.149999999999999" customHeight="1" x14ac:dyDescent="0.25">
      <c r="A141" s="98">
        <v>132</v>
      </c>
      <c r="B141" s="99">
        <f t="shared" ca="1" si="8"/>
        <v>0</v>
      </c>
      <c r="C141" s="99">
        <f ca="1">OFFSET(CashFlow!$B$35,0,ROW($A141)-ROW($A$9),1,1)</f>
        <v>0</v>
      </c>
      <c r="D141" s="96">
        <f t="shared" ca="1" si="9"/>
        <v>0</v>
      </c>
      <c r="E141" s="96">
        <f t="shared" ca="1" si="10"/>
        <v>0</v>
      </c>
      <c r="F141" s="96">
        <f t="shared" ca="1" si="11"/>
        <v>0</v>
      </c>
      <c r="G141" s="89">
        <f ca="1">IF(ROUND(SUM(B141:C141,-F141),0)=0,0,IF($B$6="Yes",SUM($C$9:C141),SUM(B141:C141,-F141)))</f>
        <v>0</v>
      </c>
    </row>
    <row r="142" spans="1:7" ht="16.149999999999999" customHeight="1" x14ac:dyDescent="0.25">
      <c r="A142" s="98">
        <v>133</v>
      </c>
      <c r="B142" s="99">
        <f t="shared" ca="1" si="8"/>
        <v>0</v>
      </c>
      <c r="C142" s="99">
        <f ca="1">OFFSET(CashFlow!$B$35,0,ROW($A142)-ROW($A$9),1,1)</f>
        <v>0</v>
      </c>
      <c r="D142" s="96">
        <f t="shared" ca="1" si="9"/>
        <v>0</v>
      </c>
      <c r="E142" s="96">
        <f t="shared" ca="1" si="10"/>
        <v>0</v>
      </c>
      <c r="F142" s="96">
        <f t="shared" ca="1" si="11"/>
        <v>0</v>
      </c>
      <c r="G142" s="89">
        <f ca="1">IF(ROUND(SUM(B142:C142,-F142),0)=0,0,IF($B$6="Yes",SUM($C$9:C142),SUM(B142:C142,-F142)))</f>
        <v>0</v>
      </c>
    </row>
    <row r="143" spans="1:7" ht="16.149999999999999" customHeight="1" x14ac:dyDescent="0.25">
      <c r="A143" s="98">
        <v>134</v>
      </c>
      <c r="B143" s="99">
        <f t="shared" ca="1" si="8"/>
        <v>0</v>
      </c>
      <c r="C143" s="99">
        <f ca="1">OFFSET(CashFlow!$B$35,0,ROW($A143)-ROW($A$9),1,1)</f>
        <v>0</v>
      </c>
      <c r="D143" s="96">
        <f t="shared" ca="1" si="9"/>
        <v>0</v>
      </c>
      <c r="E143" s="96">
        <f t="shared" ca="1" si="10"/>
        <v>0</v>
      </c>
      <c r="F143" s="96">
        <f t="shared" ca="1" si="11"/>
        <v>0</v>
      </c>
      <c r="G143" s="89">
        <f ca="1">IF(ROUND(SUM(B143:C143,-F143),0)=0,0,IF($B$6="Yes",SUM($C$9:C143),SUM(B143:C143,-F143)))</f>
        <v>0</v>
      </c>
    </row>
    <row r="144" spans="1:7" ht="16.149999999999999" customHeight="1" x14ac:dyDescent="0.25">
      <c r="A144" s="98">
        <v>135</v>
      </c>
      <c r="B144" s="99">
        <f t="shared" ca="1" si="8"/>
        <v>0</v>
      </c>
      <c r="C144" s="99">
        <f ca="1">OFFSET(CashFlow!$B$35,0,ROW($A144)-ROW($A$9),1,1)</f>
        <v>0</v>
      </c>
      <c r="D144" s="96">
        <f t="shared" ca="1" si="9"/>
        <v>0</v>
      </c>
      <c r="E144" s="96">
        <f t="shared" ca="1" si="10"/>
        <v>0</v>
      </c>
      <c r="F144" s="96">
        <f t="shared" ca="1" si="11"/>
        <v>0</v>
      </c>
      <c r="G144" s="89">
        <f ca="1">IF(ROUND(SUM(B144:C144,-F144),0)=0,0,IF($B$6="Yes",SUM($C$9:C144),SUM(B144:C144,-F144)))</f>
        <v>0</v>
      </c>
    </row>
    <row r="145" spans="1:7" ht="16.149999999999999" customHeight="1" x14ac:dyDescent="0.25">
      <c r="A145" s="98">
        <v>136</v>
      </c>
      <c r="B145" s="99">
        <f t="shared" ca="1" si="8"/>
        <v>0</v>
      </c>
      <c r="C145" s="99">
        <f ca="1">OFFSET(CashFlow!$B$35,0,ROW($A145)-ROW($A$9),1,1)</f>
        <v>0</v>
      </c>
      <c r="D145" s="96">
        <f t="shared" ca="1" si="9"/>
        <v>0</v>
      </c>
      <c r="E145" s="96">
        <f t="shared" ca="1" si="10"/>
        <v>0</v>
      </c>
      <c r="F145" s="96">
        <f t="shared" ca="1" si="11"/>
        <v>0</v>
      </c>
      <c r="G145" s="89">
        <f ca="1">IF(ROUND(SUM(B145:C145,-F145),0)=0,0,IF($B$6="Yes",SUM($C$9:C145),SUM(B145:C145,-F145)))</f>
        <v>0</v>
      </c>
    </row>
    <row r="146" spans="1:7" ht="16.149999999999999" customHeight="1" x14ac:dyDescent="0.25">
      <c r="A146" s="98">
        <v>137</v>
      </c>
      <c r="B146" s="99">
        <f t="shared" ca="1" si="8"/>
        <v>0</v>
      </c>
      <c r="C146" s="99">
        <f ca="1">OFFSET(CashFlow!$B$35,0,ROW($A146)-ROW($A$9),1,1)</f>
        <v>0</v>
      </c>
      <c r="D146" s="96">
        <f t="shared" ca="1" si="9"/>
        <v>0</v>
      </c>
      <c r="E146" s="96">
        <f t="shared" ca="1" si="10"/>
        <v>0</v>
      </c>
      <c r="F146" s="96">
        <f t="shared" ca="1" si="11"/>
        <v>0</v>
      </c>
      <c r="G146" s="89">
        <f ca="1">IF(ROUND(SUM(B146:C146,-F146),0)=0,0,IF($B$6="Yes",SUM($C$9:C146),SUM(B146:C146,-F146)))</f>
        <v>0</v>
      </c>
    </row>
    <row r="147" spans="1:7" ht="16.149999999999999" customHeight="1" x14ac:dyDescent="0.25">
      <c r="A147" s="98">
        <v>138</v>
      </c>
      <c r="B147" s="99">
        <f t="shared" ca="1" si="8"/>
        <v>0</v>
      </c>
      <c r="C147" s="99">
        <f ca="1">OFFSET(CashFlow!$B$35,0,ROW($A147)-ROW($A$9),1,1)</f>
        <v>0</v>
      </c>
      <c r="D147" s="96">
        <f t="shared" ca="1" si="9"/>
        <v>0</v>
      </c>
      <c r="E147" s="96">
        <f t="shared" ca="1" si="10"/>
        <v>0</v>
      </c>
      <c r="F147" s="96">
        <f t="shared" ca="1" si="11"/>
        <v>0</v>
      </c>
      <c r="G147" s="89">
        <f ca="1">IF(ROUND(SUM(B147:C147,-F147),0)=0,0,IF($B$6="Yes",SUM($C$9:C147),SUM(B147:C147,-F147)))</f>
        <v>0</v>
      </c>
    </row>
    <row r="148" spans="1:7" ht="16.149999999999999" customHeight="1" x14ac:dyDescent="0.25">
      <c r="A148" s="98">
        <v>139</v>
      </c>
      <c r="B148" s="99">
        <f t="shared" ca="1" si="8"/>
        <v>0</v>
      </c>
      <c r="C148" s="99">
        <f ca="1">OFFSET(CashFlow!$B$35,0,ROW($A148)-ROW($A$9),1,1)</f>
        <v>0</v>
      </c>
      <c r="D148" s="96">
        <f t="shared" ca="1" si="9"/>
        <v>0</v>
      </c>
      <c r="E148" s="96">
        <f t="shared" ca="1" si="10"/>
        <v>0</v>
      </c>
      <c r="F148" s="96">
        <f t="shared" ca="1" si="11"/>
        <v>0</v>
      </c>
      <c r="G148" s="89">
        <f ca="1">IF(ROUND(SUM(B148:C148,-F148),0)=0,0,IF($B$6="Yes",SUM($C$9:C148),SUM(B148:C148,-F148)))</f>
        <v>0</v>
      </c>
    </row>
    <row r="149" spans="1:7" ht="16.149999999999999" customHeight="1" x14ac:dyDescent="0.25">
      <c r="A149" s="98">
        <v>140</v>
      </c>
      <c r="B149" s="99">
        <f t="shared" ca="1" si="8"/>
        <v>0</v>
      </c>
      <c r="C149" s="99">
        <f ca="1">OFFSET(CashFlow!$B$35,0,ROW($A149)-ROW($A$9),1,1)</f>
        <v>0</v>
      </c>
      <c r="D149" s="96">
        <f t="shared" ca="1" si="9"/>
        <v>0</v>
      </c>
      <c r="E149" s="96">
        <f t="shared" ca="1" si="10"/>
        <v>0</v>
      </c>
      <c r="F149" s="96">
        <f t="shared" ca="1" si="11"/>
        <v>0</v>
      </c>
      <c r="G149" s="89">
        <f ca="1">IF(ROUND(SUM(B149:C149,-F149),0)=0,0,IF($B$6="Yes",SUM($C$9:C149),SUM(B149:C149,-F149)))</f>
        <v>0</v>
      </c>
    </row>
    <row r="150" spans="1:7" ht="16.149999999999999" customHeight="1" x14ac:dyDescent="0.25">
      <c r="A150" s="98">
        <v>141</v>
      </c>
      <c r="B150" s="99">
        <f t="shared" ca="1" si="8"/>
        <v>0</v>
      </c>
      <c r="C150" s="99">
        <f ca="1">OFFSET(CashFlow!$B$35,0,ROW($A150)-ROW($A$9),1,1)</f>
        <v>0</v>
      </c>
      <c r="D150" s="96">
        <f t="shared" ca="1" si="9"/>
        <v>0</v>
      </c>
      <c r="E150" s="96">
        <f t="shared" ca="1" si="10"/>
        <v>0</v>
      </c>
      <c r="F150" s="96">
        <f t="shared" ca="1" si="11"/>
        <v>0</v>
      </c>
      <c r="G150" s="89">
        <f ca="1">IF(ROUND(SUM(B150:C150,-F150),0)=0,0,IF($B$6="Yes",SUM($C$9:C150),SUM(B150:C150,-F150)))</f>
        <v>0</v>
      </c>
    </row>
    <row r="151" spans="1:7" ht="16.149999999999999" customHeight="1" x14ac:dyDescent="0.25">
      <c r="A151" s="98">
        <v>142</v>
      </c>
      <c r="B151" s="99">
        <f t="shared" ca="1" si="8"/>
        <v>0</v>
      </c>
      <c r="C151" s="99">
        <f ca="1">OFFSET(CashFlow!$B$35,0,ROW($A151)-ROW($A$9),1,1)</f>
        <v>0</v>
      </c>
      <c r="D151" s="96">
        <f t="shared" ca="1" si="9"/>
        <v>0</v>
      </c>
      <c r="E151" s="96">
        <f t="shared" ca="1" si="10"/>
        <v>0</v>
      </c>
      <c r="F151" s="96">
        <f t="shared" ca="1" si="11"/>
        <v>0</v>
      </c>
      <c r="G151" s="89">
        <f ca="1">IF(ROUND(SUM(B151:C151,-F151),0)=0,0,IF($B$6="Yes",SUM($C$9:C151),SUM(B151:C151,-F151)))</f>
        <v>0</v>
      </c>
    </row>
    <row r="152" spans="1:7" ht="16.149999999999999" customHeight="1" x14ac:dyDescent="0.25">
      <c r="A152" s="98">
        <v>143</v>
      </c>
      <c r="B152" s="99">
        <f t="shared" ca="1" si="8"/>
        <v>0</v>
      </c>
      <c r="C152" s="99">
        <f ca="1">OFFSET(CashFlow!$B$35,0,ROW($A152)-ROW($A$9),1,1)</f>
        <v>0</v>
      </c>
      <c r="D152" s="96">
        <f t="shared" ca="1" si="9"/>
        <v>0</v>
      </c>
      <c r="E152" s="96">
        <f t="shared" ca="1" si="10"/>
        <v>0</v>
      </c>
      <c r="F152" s="96">
        <f t="shared" ca="1" si="11"/>
        <v>0</v>
      </c>
      <c r="G152" s="89">
        <f ca="1">IF(ROUND(SUM(B152:C152,-F152),0)=0,0,IF($B$6="Yes",SUM($C$9:C152),SUM(B152:C152,-F152)))</f>
        <v>0</v>
      </c>
    </row>
    <row r="153" spans="1:7" ht="16.149999999999999" customHeight="1" x14ac:dyDescent="0.25">
      <c r="A153" s="98">
        <v>144</v>
      </c>
      <c r="B153" s="99">
        <f t="shared" ref="B153:B197" ca="1" si="12">G152</f>
        <v>0</v>
      </c>
      <c r="C153" s="99">
        <f ca="1">OFFSET(CashFlow!$B$35,0,ROW($A153)-ROW($A$9),1,1)</f>
        <v>0</v>
      </c>
      <c r="D153" s="96">
        <f t="shared" ref="D153:D197" ca="1" si="13">IF($B$6="Yes",0,IF(ROW(C153)-ROW($C$9)&gt;$B$5,-PMT($B$4,$B$5,SUM(OFFSET(C153,0,0,-$B$5,1)),0,0),-PMT($B$4,$B$5,SUM(OFFSET(C153,0,0,ROW($C$8)-ROW(C153),1)),0,0)))</f>
        <v>0</v>
      </c>
      <c r="E153" s="96">
        <f t="shared" ref="E153:E197" ca="1" si="14">(G152+C153)*$B$4</f>
        <v>0</v>
      </c>
      <c r="F153" s="96">
        <f t="shared" ref="F153:F197" ca="1" si="15">IF($B$6="Yes",0,D153-E153)</f>
        <v>0</v>
      </c>
      <c r="G153" s="89">
        <f ca="1">IF(ROUND(SUM(B153:C153,-F153),0)=0,0,IF($B$6="Yes",SUM($C$9:C153),SUM(B153:C153,-F153)))</f>
        <v>0</v>
      </c>
    </row>
    <row r="154" spans="1:7" ht="16.149999999999999" customHeight="1" x14ac:dyDescent="0.25">
      <c r="A154" s="98">
        <v>145</v>
      </c>
      <c r="B154" s="99">
        <f t="shared" ca="1" si="12"/>
        <v>0</v>
      </c>
      <c r="C154" s="99">
        <f ca="1">OFFSET(CashFlow!$B$35,0,ROW($A154)-ROW($A$9),1,1)</f>
        <v>0</v>
      </c>
      <c r="D154" s="96">
        <f t="shared" ca="1" si="13"/>
        <v>0</v>
      </c>
      <c r="E154" s="96">
        <f t="shared" ca="1" si="14"/>
        <v>0</v>
      </c>
      <c r="F154" s="96">
        <f t="shared" ca="1" si="15"/>
        <v>0</v>
      </c>
      <c r="G154" s="89">
        <f ca="1">IF(ROUND(SUM(B154:C154,-F154),0)=0,0,IF($B$6="Yes",SUM($C$9:C154),SUM(B154:C154,-F154)))</f>
        <v>0</v>
      </c>
    </row>
    <row r="155" spans="1:7" ht="16.149999999999999" customHeight="1" x14ac:dyDescent="0.25">
      <c r="A155" s="98">
        <v>146</v>
      </c>
      <c r="B155" s="99">
        <f t="shared" ca="1" si="12"/>
        <v>0</v>
      </c>
      <c r="C155" s="99">
        <f ca="1">OFFSET(CashFlow!$B$35,0,ROW($A155)-ROW($A$9),1,1)</f>
        <v>0</v>
      </c>
      <c r="D155" s="96">
        <f t="shared" ca="1" si="13"/>
        <v>0</v>
      </c>
      <c r="E155" s="96">
        <f t="shared" ca="1" si="14"/>
        <v>0</v>
      </c>
      <c r="F155" s="96">
        <f t="shared" ca="1" si="15"/>
        <v>0</v>
      </c>
      <c r="G155" s="89">
        <f ca="1">IF(ROUND(SUM(B155:C155,-F155),0)=0,0,IF($B$6="Yes",SUM($C$9:C155),SUM(B155:C155,-F155)))</f>
        <v>0</v>
      </c>
    </row>
    <row r="156" spans="1:7" ht="16.149999999999999" customHeight="1" x14ac:dyDescent="0.25">
      <c r="A156" s="98">
        <v>147</v>
      </c>
      <c r="B156" s="99">
        <f t="shared" ca="1" si="12"/>
        <v>0</v>
      </c>
      <c r="C156" s="99">
        <f ca="1">OFFSET(CashFlow!$B$35,0,ROW($A156)-ROW($A$9),1,1)</f>
        <v>0</v>
      </c>
      <c r="D156" s="96">
        <f t="shared" ca="1" si="13"/>
        <v>0</v>
      </c>
      <c r="E156" s="96">
        <f t="shared" ca="1" si="14"/>
        <v>0</v>
      </c>
      <c r="F156" s="96">
        <f t="shared" ca="1" si="15"/>
        <v>0</v>
      </c>
      <c r="G156" s="89">
        <f ca="1">IF(ROUND(SUM(B156:C156,-F156),0)=0,0,IF($B$6="Yes",SUM($C$9:C156),SUM(B156:C156,-F156)))</f>
        <v>0</v>
      </c>
    </row>
    <row r="157" spans="1:7" ht="16.149999999999999" customHeight="1" x14ac:dyDescent="0.25">
      <c r="A157" s="98">
        <v>148</v>
      </c>
      <c r="B157" s="99">
        <f t="shared" ca="1" si="12"/>
        <v>0</v>
      </c>
      <c r="C157" s="99">
        <f ca="1">OFFSET(CashFlow!$B$35,0,ROW($A157)-ROW($A$9),1,1)</f>
        <v>0</v>
      </c>
      <c r="D157" s="96">
        <f t="shared" ca="1" si="13"/>
        <v>0</v>
      </c>
      <c r="E157" s="96">
        <f t="shared" ca="1" si="14"/>
        <v>0</v>
      </c>
      <c r="F157" s="96">
        <f t="shared" ca="1" si="15"/>
        <v>0</v>
      </c>
      <c r="G157" s="89">
        <f ca="1">IF(ROUND(SUM(B157:C157,-F157),0)=0,0,IF($B$6="Yes",SUM($C$9:C157),SUM(B157:C157,-F157)))</f>
        <v>0</v>
      </c>
    </row>
    <row r="158" spans="1:7" ht="16.149999999999999" customHeight="1" x14ac:dyDescent="0.25">
      <c r="A158" s="98">
        <v>149</v>
      </c>
      <c r="B158" s="99">
        <f t="shared" ca="1" si="12"/>
        <v>0</v>
      </c>
      <c r="C158" s="99">
        <f ca="1">OFFSET(CashFlow!$B$35,0,ROW($A158)-ROW($A$9),1,1)</f>
        <v>0</v>
      </c>
      <c r="D158" s="96">
        <f t="shared" ca="1" si="13"/>
        <v>0</v>
      </c>
      <c r="E158" s="96">
        <f t="shared" ca="1" si="14"/>
        <v>0</v>
      </c>
      <c r="F158" s="96">
        <f t="shared" ca="1" si="15"/>
        <v>0</v>
      </c>
      <c r="G158" s="89">
        <f ca="1">IF(ROUND(SUM(B158:C158,-F158),0)=0,0,IF($B$6="Yes",SUM($C$9:C158),SUM(B158:C158,-F158)))</f>
        <v>0</v>
      </c>
    </row>
    <row r="159" spans="1:7" ht="16.149999999999999" customHeight="1" x14ac:dyDescent="0.25">
      <c r="A159" s="98">
        <v>150</v>
      </c>
      <c r="B159" s="99">
        <f t="shared" ca="1" si="12"/>
        <v>0</v>
      </c>
      <c r="C159" s="99">
        <f ca="1">OFFSET(CashFlow!$B$35,0,ROW($A159)-ROW($A$9),1,1)</f>
        <v>0</v>
      </c>
      <c r="D159" s="96">
        <f t="shared" ca="1" si="13"/>
        <v>0</v>
      </c>
      <c r="E159" s="96">
        <f t="shared" ca="1" si="14"/>
        <v>0</v>
      </c>
      <c r="F159" s="96">
        <f t="shared" ca="1" si="15"/>
        <v>0</v>
      </c>
      <c r="G159" s="89">
        <f ca="1">IF(ROUND(SUM(B159:C159,-F159),0)=0,0,IF($B$6="Yes",SUM($C$9:C159),SUM(B159:C159,-F159)))</f>
        <v>0</v>
      </c>
    </row>
    <row r="160" spans="1:7" ht="16.149999999999999" customHeight="1" x14ac:dyDescent="0.25">
      <c r="A160" s="98">
        <v>151</v>
      </c>
      <c r="B160" s="99">
        <f t="shared" ca="1" si="12"/>
        <v>0</v>
      </c>
      <c r="C160" s="99">
        <f ca="1">OFFSET(CashFlow!$B$35,0,ROW($A160)-ROW($A$9),1,1)</f>
        <v>0</v>
      </c>
      <c r="D160" s="96">
        <f t="shared" ca="1" si="13"/>
        <v>0</v>
      </c>
      <c r="E160" s="96">
        <f t="shared" ca="1" si="14"/>
        <v>0</v>
      </c>
      <c r="F160" s="96">
        <f t="shared" ca="1" si="15"/>
        <v>0</v>
      </c>
      <c r="G160" s="89">
        <f ca="1">IF(ROUND(SUM(B160:C160,-F160),0)=0,0,IF($B$6="Yes",SUM($C$9:C160),SUM(B160:C160,-F160)))</f>
        <v>0</v>
      </c>
    </row>
    <row r="161" spans="1:7" ht="16.149999999999999" customHeight="1" x14ac:dyDescent="0.25">
      <c r="A161" s="98">
        <v>152</v>
      </c>
      <c r="B161" s="99">
        <f t="shared" ca="1" si="12"/>
        <v>0</v>
      </c>
      <c r="C161" s="99">
        <f ca="1">OFFSET(CashFlow!$B$35,0,ROW($A161)-ROW($A$9),1,1)</f>
        <v>0</v>
      </c>
      <c r="D161" s="96">
        <f t="shared" ca="1" si="13"/>
        <v>0</v>
      </c>
      <c r="E161" s="96">
        <f t="shared" ca="1" si="14"/>
        <v>0</v>
      </c>
      <c r="F161" s="96">
        <f t="shared" ca="1" si="15"/>
        <v>0</v>
      </c>
      <c r="G161" s="89">
        <f ca="1">IF(ROUND(SUM(B161:C161,-F161),0)=0,0,IF($B$6="Yes",SUM($C$9:C161),SUM(B161:C161,-F161)))</f>
        <v>0</v>
      </c>
    </row>
    <row r="162" spans="1:7" ht="16.149999999999999" customHeight="1" x14ac:dyDescent="0.25">
      <c r="A162" s="98">
        <v>153</v>
      </c>
      <c r="B162" s="99">
        <f t="shared" ca="1" si="12"/>
        <v>0</v>
      </c>
      <c r="C162" s="99">
        <f ca="1">OFFSET(CashFlow!$B$35,0,ROW($A162)-ROW($A$9),1,1)</f>
        <v>0</v>
      </c>
      <c r="D162" s="96">
        <f t="shared" ca="1" si="13"/>
        <v>0</v>
      </c>
      <c r="E162" s="96">
        <f t="shared" ca="1" si="14"/>
        <v>0</v>
      </c>
      <c r="F162" s="96">
        <f t="shared" ca="1" si="15"/>
        <v>0</v>
      </c>
      <c r="G162" s="89">
        <f ca="1">IF(ROUND(SUM(B162:C162,-F162),0)=0,0,IF($B$6="Yes",SUM($C$9:C162),SUM(B162:C162,-F162)))</f>
        <v>0</v>
      </c>
    </row>
    <row r="163" spans="1:7" ht="16.149999999999999" customHeight="1" x14ac:dyDescent="0.25">
      <c r="A163" s="98">
        <v>154</v>
      </c>
      <c r="B163" s="99">
        <f t="shared" ca="1" si="12"/>
        <v>0</v>
      </c>
      <c r="C163" s="99">
        <f ca="1">OFFSET(CashFlow!$B$35,0,ROW($A163)-ROW($A$9),1,1)</f>
        <v>0</v>
      </c>
      <c r="D163" s="96">
        <f t="shared" ca="1" si="13"/>
        <v>0</v>
      </c>
      <c r="E163" s="96">
        <f t="shared" ca="1" si="14"/>
        <v>0</v>
      </c>
      <c r="F163" s="96">
        <f t="shared" ca="1" si="15"/>
        <v>0</v>
      </c>
      <c r="G163" s="89">
        <f ca="1">IF(ROUND(SUM(B163:C163,-F163),0)=0,0,IF($B$6="Yes",SUM($C$9:C163),SUM(B163:C163,-F163)))</f>
        <v>0</v>
      </c>
    </row>
    <row r="164" spans="1:7" ht="16.149999999999999" customHeight="1" x14ac:dyDescent="0.25">
      <c r="A164" s="98">
        <v>155</v>
      </c>
      <c r="B164" s="99">
        <f t="shared" ca="1" si="12"/>
        <v>0</v>
      </c>
      <c r="C164" s="99">
        <f ca="1">OFFSET(CashFlow!$B$35,0,ROW($A164)-ROW($A$9),1,1)</f>
        <v>0</v>
      </c>
      <c r="D164" s="96">
        <f t="shared" ca="1" si="13"/>
        <v>0</v>
      </c>
      <c r="E164" s="96">
        <f t="shared" ca="1" si="14"/>
        <v>0</v>
      </c>
      <c r="F164" s="96">
        <f t="shared" ca="1" si="15"/>
        <v>0</v>
      </c>
      <c r="G164" s="89">
        <f ca="1">IF(ROUND(SUM(B164:C164,-F164),0)=0,0,IF($B$6="Yes",SUM($C$9:C164),SUM(B164:C164,-F164)))</f>
        <v>0</v>
      </c>
    </row>
    <row r="165" spans="1:7" ht="16.149999999999999" customHeight="1" x14ac:dyDescent="0.25">
      <c r="A165" s="98">
        <v>156</v>
      </c>
      <c r="B165" s="99">
        <f t="shared" ca="1" si="12"/>
        <v>0</v>
      </c>
      <c r="C165" s="99">
        <f ca="1">OFFSET(CashFlow!$B$35,0,ROW($A165)-ROW($A$9),1,1)</f>
        <v>0</v>
      </c>
      <c r="D165" s="96">
        <f t="shared" ca="1" si="13"/>
        <v>0</v>
      </c>
      <c r="E165" s="96">
        <f t="shared" ca="1" si="14"/>
        <v>0</v>
      </c>
      <c r="F165" s="96">
        <f t="shared" ca="1" si="15"/>
        <v>0</v>
      </c>
      <c r="G165" s="89">
        <f ca="1">IF(ROUND(SUM(B165:C165,-F165),0)=0,0,IF($B$6="Yes",SUM($C$9:C165),SUM(B165:C165,-F165)))</f>
        <v>0</v>
      </c>
    </row>
    <row r="166" spans="1:7" ht="16.149999999999999" customHeight="1" x14ac:dyDescent="0.25">
      <c r="A166" s="98">
        <v>157</v>
      </c>
      <c r="B166" s="99">
        <f t="shared" ca="1" si="12"/>
        <v>0</v>
      </c>
      <c r="C166" s="99">
        <f ca="1">OFFSET(CashFlow!$B$35,0,ROW($A166)-ROW($A$9),1,1)</f>
        <v>0</v>
      </c>
      <c r="D166" s="96">
        <f t="shared" ca="1" si="13"/>
        <v>0</v>
      </c>
      <c r="E166" s="96">
        <f t="shared" ca="1" si="14"/>
        <v>0</v>
      </c>
      <c r="F166" s="96">
        <f t="shared" ca="1" si="15"/>
        <v>0</v>
      </c>
      <c r="G166" s="89">
        <f ca="1">IF(ROUND(SUM(B166:C166,-F166),0)=0,0,IF($B$6="Yes",SUM($C$9:C166),SUM(B166:C166,-F166)))</f>
        <v>0</v>
      </c>
    </row>
    <row r="167" spans="1:7" ht="16.149999999999999" customHeight="1" x14ac:dyDescent="0.25">
      <c r="A167" s="98">
        <v>158</v>
      </c>
      <c r="B167" s="99">
        <f t="shared" ca="1" si="12"/>
        <v>0</v>
      </c>
      <c r="C167" s="99">
        <f ca="1">OFFSET(CashFlow!$B$35,0,ROW($A167)-ROW($A$9),1,1)</f>
        <v>0</v>
      </c>
      <c r="D167" s="96">
        <f t="shared" ca="1" si="13"/>
        <v>0</v>
      </c>
      <c r="E167" s="96">
        <f t="shared" ca="1" si="14"/>
        <v>0</v>
      </c>
      <c r="F167" s="96">
        <f t="shared" ca="1" si="15"/>
        <v>0</v>
      </c>
      <c r="G167" s="89">
        <f ca="1">IF(ROUND(SUM(B167:C167,-F167),0)=0,0,IF($B$6="Yes",SUM($C$9:C167),SUM(B167:C167,-F167)))</f>
        <v>0</v>
      </c>
    </row>
    <row r="168" spans="1:7" ht="16.149999999999999" customHeight="1" x14ac:dyDescent="0.25">
      <c r="A168" s="98">
        <v>159</v>
      </c>
      <c r="B168" s="99">
        <f t="shared" ca="1" si="12"/>
        <v>0</v>
      </c>
      <c r="C168" s="99">
        <f ca="1">OFFSET(CashFlow!$B$35,0,ROW($A168)-ROW($A$9),1,1)</f>
        <v>0</v>
      </c>
      <c r="D168" s="96">
        <f t="shared" ca="1" si="13"/>
        <v>0</v>
      </c>
      <c r="E168" s="96">
        <f t="shared" ca="1" si="14"/>
        <v>0</v>
      </c>
      <c r="F168" s="96">
        <f t="shared" ca="1" si="15"/>
        <v>0</v>
      </c>
      <c r="G168" s="89">
        <f ca="1">IF(ROUND(SUM(B168:C168,-F168),0)=0,0,IF($B$6="Yes",SUM($C$9:C168),SUM(B168:C168,-F168)))</f>
        <v>0</v>
      </c>
    </row>
    <row r="169" spans="1:7" ht="16.149999999999999" customHeight="1" x14ac:dyDescent="0.25">
      <c r="A169" s="98">
        <v>160</v>
      </c>
      <c r="B169" s="99">
        <f t="shared" ca="1" si="12"/>
        <v>0</v>
      </c>
      <c r="C169" s="99">
        <f ca="1">OFFSET(CashFlow!$B$35,0,ROW($A169)-ROW($A$9),1,1)</f>
        <v>0</v>
      </c>
      <c r="D169" s="96">
        <f t="shared" ca="1" si="13"/>
        <v>0</v>
      </c>
      <c r="E169" s="96">
        <f t="shared" ca="1" si="14"/>
        <v>0</v>
      </c>
      <c r="F169" s="96">
        <f t="shared" ca="1" si="15"/>
        <v>0</v>
      </c>
      <c r="G169" s="89">
        <f ca="1">IF(ROUND(SUM(B169:C169,-F169),0)=0,0,IF($B$6="Yes",SUM($C$9:C169),SUM(B169:C169,-F169)))</f>
        <v>0</v>
      </c>
    </row>
    <row r="170" spans="1:7" ht="16.149999999999999" customHeight="1" x14ac:dyDescent="0.25">
      <c r="A170" s="98">
        <v>161</v>
      </c>
      <c r="B170" s="99">
        <f t="shared" ca="1" si="12"/>
        <v>0</v>
      </c>
      <c r="C170" s="99">
        <f ca="1">OFFSET(CashFlow!$B$35,0,ROW($A170)-ROW($A$9),1,1)</f>
        <v>0</v>
      </c>
      <c r="D170" s="96">
        <f t="shared" ca="1" si="13"/>
        <v>0</v>
      </c>
      <c r="E170" s="96">
        <f t="shared" ca="1" si="14"/>
        <v>0</v>
      </c>
      <c r="F170" s="96">
        <f t="shared" ca="1" si="15"/>
        <v>0</v>
      </c>
      <c r="G170" s="89">
        <f ca="1">IF(ROUND(SUM(B170:C170,-F170),0)=0,0,IF($B$6="Yes",SUM($C$9:C170),SUM(B170:C170,-F170)))</f>
        <v>0</v>
      </c>
    </row>
    <row r="171" spans="1:7" ht="16.149999999999999" customHeight="1" x14ac:dyDescent="0.25">
      <c r="A171" s="98">
        <v>162</v>
      </c>
      <c r="B171" s="99">
        <f t="shared" ca="1" si="12"/>
        <v>0</v>
      </c>
      <c r="C171" s="99">
        <f ca="1">OFFSET(CashFlow!$B$35,0,ROW($A171)-ROW($A$9),1,1)</f>
        <v>0</v>
      </c>
      <c r="D171" s="96">
        <f t="shared" ca="1" si="13"/>
        <v>0</v>
      </c>
      <c r="E171" s="96">
        <f t="shared" ca="1" si="14"/>
        <v>0</v>
      </c>
      <c r="F171" s="96">
        <f t="shared" ca="1" si="15"/>
        <v>0</v>
      </c>
      <c r="G171" s="89">
        <f ca="1">IF(ROUND(SUM(B171:C171,-F171),0)=0,0,IF($B$6="Yes",SUM($C$9:C171),SUM(B171:C171,-F171)))</f>
        <v>0</v>
      </c>
    </row>
    <row r="172" spans="1:7" ht="16.149999999999999" customHeight="1" x14ac:dyDescent="0.25">
      <c r="A172" s="98">
        <v>163</v>
      </c>
      <c r="B172" s="99">
        <f t="shared" ca="1" si="12"/>
        <v>0</v>
      </c>
      <c r="C172" s="99">
        <f ca="1">OFFSET(CashFlow!$B$35,0,ROW($A172)-ROW($A$9),1,1)</f>
        <v>0</v>
      </c>
      <c r="D172" s="96">
        <f t="shared" ca="1" si="13"/>
        <v>0</v>
      </c>
      <c r="E172" s="96">
        <f t="shared" ca="1" si="14"/>
        <v>0</v>
      </c>
      <c r="F172" s="96">
        <f t="shared" ca="1" si="15"/>
        <v>0</v>
      </c>
      <c r="G172" s="89">
        <f ca="1">IF(ROUND(SUM(B172:C172,-F172),0)=0,0,IF($B$6="Yes",SUM($C$9:C172),SUM(B172:C172,-F172)))</f>
        <v>0</v>
      </c>
    </row>
    <row r="173" spans="1:7" ht="16.149999999999999" customHeight="1" x14ac:dyDescent="0.25">
      <c r="A173" s="98">
        <v>164</v>
      </c>
      <c r="B173" s="99">
        <f t="shared" ca="1" si="12"/>
        <v>0</v>
      </c>
      <c r="C173" s="99">
        <f ca="1">OFFSET(CashFlow!$B$35,0,ROW($A173)-ROW($A$9),1,1)</f>
        <v>0</v>
      </c>
      <c r="D173" s="96">
        <f t="shared" ca="1" si="13"/>
        <v>0</v>
      </c>
      <c r="E173" s="96">
        <f t="shared" ca="1" si="14"/>
        <v>0</v>
      </c>
      <c r="F173" s="96">
        <f t="shared" ca="1" si="15"/>
        <v>0</v>
      </c>
      <c r="G173" s="89">
        <f ca="1">IF(ROUND(SUM(B173:C173,-F173),0)=0,0,IF($B$6="Yes",SUM($C$9:C173),SUM(B173:C173,-F173)))</f>
        <v>0</v>
      </c>
    </row>
    <row r="174" spans="1:7" ht="16.149999999999999" customHeight="1" x14ac:dyDescent="0.25">
      <c r="A174" s="98">
        <v>165</v>
      </c>
      <c r="B174" s="99">
        <f t="shared" ca="1" si="12"/>
        <v>0</v>
      </c>
      <c r="C174" s="99">
        <f ca="1">OFFSET(CashFlow!$B$35,0,ROW($A174)-ROW($A$9),1,1)</f>
        <v>0</v>
      </c>
      <c r="D174" s="96">
        <f t="shared" ca="1" si="13"/>
        <v>0</v>
      </c>
      <c r="E174" s="96">
        <f t="shared" ca="1" si="14"/>
        <v>0</v>
      </c>
      <c r="F174" s="96">
        <f t="shared" ca="1" si="15"/>
        <v>0</v>
      </c>
      <c r="G174" s="89">
        <f ca="1">IF(ROUND(SUM(B174:C174,-F174),0)=0,0,IF($B$6="Yes",SUM($C$9:C174),SUM(B174:C174,-F174)))</f>
        <v>0</v>
      </c>
    </row>
    <row r="175" spans="1:7" ht="16.149999999999999" customHeight="1" x14ac:dyDescent="0.25">
      <c r="A175" s="98">
        <v>166</v>
      </c>
      <c r="B175" s="99">
        <f t="shared" ca="1" si="12"/>
        <v>0</v>
      </c>
      <c r="C175" s="99">
        <f ca="1">OFFSET(CashFlow!$B$35,0,ROW($A175)-ROW($A$9),1,1)</f>
        <v>0</v>
      </c>
      <c r="D175" s="96">
        <f t="shared" ca="1" si="13"/>
        <v>0</v>
      </c>
      <c r="E175" s="96">
        <f t="shared" ca="1" si="14"/>
        <v>0</v>
      </c>
      <c r="F175" s="96">
        <f t="shared" ca="1" si="15"/>
        <v>0</v>
      </c>
      <c r="G175" s="89">
        <f ca="1">IF(ROUND(SUM(B175:C175,-F175),0)=0,0,IF($B$6="Yes",SUM($C$9:C175),SUM(B175:C175,-F175)))</f>
        <v>0</v>
      </c>
    </row>
    <row r="176" spans="1:7" ht="16.149999999999999" customHeight="1" x14ac:dyDescent="0.25">
      <c r="A176" s="98">
        <v>167</v>
      </c>
      <c r="B176" s="99">
        <f t="shared" ca="1" si="12"/>
        <v>0</v>
      </c>
      <c r="C176" s="99">
        <f ca="1">OFFSET(CashFlow!$B$35,0,ROW($A176)-ROW($A$9),1,1)</f>
        <v>0</v>
      </c>
      <c r="D176" s="96">
        <f t="shared" ca="1" si="13"/>
        <v>0</v>
      </c>
      <c r="E176" s="96">
        <f t="shared" ca="1" si="14"/>
        <v>0</v>
      </c>
      <c r="F176" s="96">
        <f t="shared" ca="1" si="15"/>
        <v>0</v>
      </c>
      <c r="G176" s="89">
        <f ca="1">IF(ROUND(SUM(B176:C176,-F176),0)=0,0,IF($B$6="Yes",SUM($C$9:C176),SUM(B176:C176,-F176)))</f>
        <v>0</v>
      </c>
    </row>
    <row r="177" spans="1:7" ht="16.149999999999999" customHeight="1" x14ac:dyDescent="0.25">
      <c r="A177" s="98">
        <v>168</v>
      </c>
      <c r="B177" s="99">
        <f t="shared" ca="1" si="12"/>
        <v>0</v>
      </c>
      <c r="C177" s="99">
        <f ca="1">OFFSET(CashFlow!$B$35,0,ROW($A177)-ROW($A$9),1,1)</f>
        <v>0</v>
      </c>
      <c r="D177" s="96">
        <f t="shared" ca="1" si="13"/>
        <v>0</v>
      </c>
      <c r="E177" s="96">
        <f t="shared" ca="1" si="14"/>
        <v>0</v>
      </c>
      <c r="F177" s="96">
        <f t="shared" ca="1" si="15"/>
        <v>0</v>
      </c>
      <c r="G177" s="89">
        <f ca="1">IF(ROUND(SUM(B177:C177,-F177),0)=0,0,IF($B$6="Yes",SUM($C$9:C177),SUM(B177:C177,-F177)))</f>
        <v>0</v>
      </c>
    </row>
    <row r="178" spans="1:7" ht="16.149999999999999" customHeight="1" x14ac:dyDescent="0.25">
      <c r="A178" s="98">
        <v>169</v>
      </c>
      <c r="B178" s="99">
        <f t="shared" ca="1" si="12"/>
        <v>0</v>
      </c>
      <c r="C178" s="99">
        <f ca="1">OFFSET(CashFlow!$B$35,0,ROW($A178)-ROW($A$9),1,1)</f>
        <v>0</v>
      </c>
      <c r="D178" s="96">
        <f t="shared" ca="1" si="13"/>
        <v>0</v>
      </c>
      <c r="E178" s="96">
        <f t="shared" ca="1" si="14"/>
        <v>0</v>
      </c>
      <c r="F178" s="96">
        <f t="shared" ca="1" si="15"/>
        <v>0</v>
      </c>
      <c r="G178" s="89">
        <f ca="1">IF(ROUND(SUM(B178:C178,-F178),0)=0,0,IF($B$6="Yes",SUM($C$9:C178),SUM(B178:C178,-F178)))</f>
        <v>0</v>
      </c>
    </row>
    <row r="179" spans="1:7" ht="16.149999999999999" customHeight="1" x14ac:dyDescent="0.25">
      <c r="A179" s="98">
        <v>170</v>
      </c>
      <c r="B179" s="99">
        <f t="shared" ca="1" si="12"/>
        <v>0</v>
      </c>
      <c r="C179" s="99">
        <f ca="1">OFFSET(CashFlow!$B$35,0,ROW($A179)-ROW($A$9),1,1)</f>
        <v>0</v>
      </c>
      <c r="D179" s="96">
        <f t="shared" ca="1" si="13"/>
        <v>0</v>
      </c>
      <c r="E179" s="96">
        <f t="shared" ca="1" si="14"/>
        <v>0</v>
      </c>
      <c r="F179" s="96">
        <f t="shared" ca="1" si="15"/>
        <v>0</v>
      </c>
      <c r="G179" s="89">
        <f ca="1">IF(ROUND(SUM(B179:C179,-F179),0)=0,0,IF($B$6="Yes",SUM($C$9:C179),SUM(B179:C179,-F179)))</f>
        <v>0</v>
      </c>
    </row>
    <row r="180" spans="1:7" ht="16.149999999999999" customHeight="1" x14ac:dyDescent="0.25">
      <c r="A180" s="98">
        <v>171</v>
      </c>
      <c r="B180" s="99">
        <f t="shared" ca="1" si="12"/>
        <v>0</v>
      </c>
      <c r="C180" s="99">
        <f ca="1">OFFSET(CashFlow!$B$35,0,ROW($A180)-ROW($A$9),1,1)</f>
        <v>0</v>
      </c>
      <c r="D180" s="96">
        <f t="shared" ca="1" si="13"/>
        <v>0</v>
      </c>
      <c r="E180" s="96">
        <f t="shared" ca="1" si="14"/>
        <v>0</v>
      </c>
      <c r="F180" s="96">
        <f t="shared" ca="1" si="15"/>
        <v>0</v>
      </c>
      <c r="G180" s="89">
        <f ca="1">IF(ROUND(SUM(B180:C180,-F180),0)=0,0,IF($B$6="Yes",SUM($C$9:C180),SUM(B180:C180,-F180)))</f>
        <v>0</v>
      </c>
    </row>
    <row r="181" spans="1:7" ht="16.149999999999999" customHeight="1" x14ac:dyDescent="0.25">
      <c r="A181" s="98">
        <v>172</v>
      </c>
      <c r="B181" s="99">
        <f t="shared" ca="1" si="12"/>
        <v>0</v>
      </c>
      <c r="C181" s="99">
        <f ca="1">OFFSET(CashFlow!$B$35,0,ROW($A181)-ROW($A$9),1,1)</f>
        <v>0</v>
      </c>
      <c r="D181" s="96">
        <f t="shared" ca="1" si="13"/>
        <v>0</v>
      </c>
      <c r="E181" s="96">
        <f t="shared" ca="1" si="14"/>
        <v>0</v>
      </c>
      <c r="F181" s="96">
        <f t="shared" ca="1" si="15"/>
        <v>0</v>
      </c>
      <c r="G181" s="89">
        <f ca="1">IF(ROUND(SUM(B181:C181,-F181),0)=0,0,IF($B$6="Yes",SUM($C$9:C181),SUM(B181:C181,-F181)))</f>
        <v>0</v>
      </c>
    </row>
    <row r="182" spans="1:7" ht="16.149999999999999" customHeight="1" x14ac:dyDescent="0.25">
      <c r="A182" s="98">
        <v>173</v>
      </c>
      <c r="B182" s="99">
        <f t="shared" ca="1" si="12"/>
        <v>0</v>
      </c>
      <c r="C182" s="99">
        <f ca="1">OFFSET(CashFlow!$B$35,0,ROW($A182)-ROW($A$9),1,1)</f>
        <v>0</v>
      </c>
      <c r="D182" s="96">
        <f t="shared" ca="1" si="13"/>
        <v>0</v>
      </c>
      <c r="E182" s="96">
        <f t="shared" ca="1" si="14"/>
        <v>0</v>
      </c>
      <c r="F182" s="96">
        <f t="shared" ca="1" si="15"/>
        <v>0</v>
      </c>
      <c r="G182" s="89">
        <f ca="1">IF(ROUND(SUM(B182:C182,-F182),0)=0,0,IF($B$6="Yes",SUM($C$9:C182),SUM(B182:C182,-F182)))</f>
        <v>0</v>
      </c>
    </row>
    <row r="183" spans="1:7" ht="16.149999999999999" customHeight="1" x14ac:dyDescent="0.25">
      <c r="A183" s="98">
        <v>174</v>
      </c>
      <c r="B183" s="99">
        <f t="shared" ca="1" si="12"/>
        <v>0</v>
      </c>
      <c r="C183" s="99">
        <f ca="1">OFFSET(CashFlow!$B$35,0,ROW($A183)-ROW($A$9),1,1)</f>
        <v>0</v>
      </c>
      <c r="D183" s="96">
        <f t="shared" ca="1" si="13"/>
        <v>0</v>
      </c>
      <c r="E183" s="96">
        <f t="shared" ca="1" si="14"/>
        <v>0</v>
      </c>
      <c r="F183" s="96">
        <f t="shared" ca="1" si="15"/>
        <v>0</v>
      </c>
      <c r="G183" s="89">
        <f ca="1">IF(ROUND(SUM(B183:C183,-F183),0)=0,0,IF($B$6="Yes",SUM($C$9:C183),SUM(B183:C183,-F183)))</f>
        <v>0</v>
      </c>
    </row>
    <row r="184" spans="1:7" ht="16.149999999999999" customHeight="1" x14ac:dyDescent="0.25">
      <c r="A184" s="98">
        <v>175</v>
      </c>
      <c r="B184" s="99">
        <f t="shared" ca="1" si="12"/>
        <v>0</v>
      </c>
      <c r="C184" s="99">
        <f ca="1">OFFSET(CashFlow!$B$35,0,ROW($A184)-ROW($A$9),1,1)</f>
        <v>0</v>
      </c>
      <c r="D184" s="96">
        <f t="shared" ca="1" si="13"/>
        <v>0</v>
      </c>
      <c r="E184" s="96">
        <f t="shared" ca="1" si="14"/>
        <v>0</v>
      </c>
      <c r="F184" s="96">
        <f t="shared" ca="1" si="15"/>
        <v>0</v>
      </c>
      <c r="G184" s="89">
        <f ca="1">IF(ROUND(SUM(B184:C184,-F184),0)=0,0,IF($B$6="Yes",SUM($C$9:C184),SUM(B184:C184,-F184)))</f>
        <v>0</v>
      </c>
    </row>
    <row r="185" spans="1:7" ht="16.149999999999999" customHeight="1" x14ac:dyDescent="0.25">
      <c r="A185" s="98">
        <v>176</v>
      </c>
      <c r="B185" s="99">
        <f t="shared" ca="1" si="12"/>
        <v>0</v>
      </c>
      <c r="C185" s="99">
        <f ca="1">OFFSET(CashFlow!$B$35,0,ROW($A185)-ROW($A$9),1,1)</f>
        <v>0</v>
      </c>
      <c r="D185" s="96">
        <f t="shared" ca="1" si="13"/>
        <v>0</v>
      </c>
      <c r="E185" s="96">
        <f t="shared" ca="1" si="14"/>
        <v>0</v>
      </c>
      <c r="F185" s="96">
        <f t="shared" ca="1" si="15"/>
        <v>0</v>
      </c>
      <c r="G185" s="89">
        <f ca="1">IF(ROUND(SUM(B185:C185,-F185),0)=0,0,IF($B$6="Yes",SUM($C$9:C185),SUM(B185:C185,-F185)))</f>
        <v>0</v>
      </c>
    </row>
    <row r="186" spans="1:7" ht="16.149999999999999" customHeight="1" x14ac:dyDescent="0.25">
      <c r="A186" s="98">
        <v>177</v>
      </c>
      <c r="B186" s="99">
        <f t="shared" ca="1" si="12"/>
        <v>0</v>
      </c>
      <c r="C186" s="99">
        <f ca="1">OFFSET(CashFlow!$B$35,0,ROW($A186)-ROW($A$9),1,1)</f>
        <v>0</v>
      </c>
      <c r="D186" s="96">
        <f t="shared" ca="1" si="13"/>
        <v>0</v>
      </c>
      <c r="E186" s="96">
        <f t="shared" ca="1" si="14"/>
        <v>0</v>
      </c>
      <c r="F186" s="96">
        <f t="shared" ca="1" si="15"/>
        <v>0</v>
      </c>
      <c r="G186" s="89">
        <f ca="1">IF(ROUND(SUM(B186:C186,-F186),0)=0,0,IF($B$6="Yes",SUM($C$9:C186),SUM(B186:C186,-F186)))</f>
        <v>0</v>
      </c>
    </row>
    <row r="187" spans="1:7" ht="16.149999999999999" customHeight="1" x14ac:dyDescent="0.25">
      <c r="A187" s="98">
        <v>178</v>
      </c>
      <c r="B187" s="99">
        <f t="shared" ca="1" si="12"/>
        <v>0</v>
      </c>
      <c r="C187" s="99">
        <f ca="1">OFFSET(CashFlow!$B$35,0,ROW($A187)-ROW($A$9),1,1)</f>
        <v>0</v>
      </c>
      <c r="D187" s="96">
        <f t="shared" ca="1" si="13"/>
        <v>0</v>
      </c>
      <c r="E187" s="96">
        <f t="shared" ca="1" si="14"/>
        <v>0</v>
      </c>
      <c r="F187" s="96">
        <f t="shared" ca="1" si="15"/>
        <v>0</v>
      </c>
      <c r="G187" s="89">
        <f ca="1">IF(ROUND(SUM(B187:C187,-F187),0)=0,0,IF($B$6="Yes",SUM($C$9:C187),SUM(B187:C187,-F187)))</f>
        <v>0</v>
      </c>
    </row>
    <row r="188" spans="1:7" ht="16.149999999999999" customHeight="1" x14ac:dyDescent="0.25">
      <c r="A188" s="98">
        <v>179</v>
      </c>
      <c r="B188" s="99">
        <f t="shared" ca="1" si="12"/>
        <v>0</v>
      </c>
      <c r="C188" s="99">
        <f ca="1">OFFSET(CashFlow!$B$35,0,ROW($A188)-ROW($A$9),1,1)</f>
        <v>0</v>
      </c>
      <c r="D188" s="96">
        <f t="shared" ca="1" si="13"/>
        <v>0</v>
      </c>
      <c r="E188" s="96">
        <f t="shared" ca="1" si="14"/>
        <v>0</v>
      </c>
      <c r="F188" s="96">
        <f t="shared" ca="1" si="15"/>
        <v>0</v>
      </c>
      <c r="G188" s="89">
        <f ca="1">IF(ROUND(SUM(B188:C188,-F188),0)=0,0,IF($B$6="Yes",SUM($C$9:C188),SUM(B188:C188,-F188)))</f>
        <v>0</v>
      </c>
    </row>
    <row r="189" spans="1:7" ht="16.149999999999999" customHeight="1" x14ac:dyDescent="0.25">
      <c r="A189" s="98">
        <v>180</v>
      </c>
      <c r="B189" s="99">
        <f t="shared" ca="1" si="12"/>
        <v>0</v>
      </c>
      <c r="C189" s="99">
        <f ca="1">OFFSET(CashFlow!$B$35,0,ROW($A189)-ROW($A$9),1,1)</f>
        <v>0</v>
      </c>
      <c r="D189" s="96">
        <f t="shared" ca="1" si="13"/>
        <v>0</v>
      </c>
      <c r="E189" s="96">
        <f t="shared" ca="1" si="14"/>
        <v>0</v>
      </c>
      <c r="F189" s="96">
        <f t="shared" ca="1" si="15"/>
        <v>0</v>
      </c>
      <c r="G189" s="89">
        <f ca="1">IF(ROUND(SUM(B189:C189,-F189),0)=0,0,IF($B$6="Yes",SUM($C$9:C189),SUM(B189:C189,-F189)))</f>
        <v>0</v>
      </c>
    </row>
    <row r="190" spans="1:7" ht="16.149999999999999" customHeight="1" x14ac:dyDescent="0.25">
      <c r="A190" s="98">
        <v>181</v>
      </c>
      <c r="B190" s="99">
        <f t="shared" ca="1" si="12"/>
        <v>0</v>
      </c>
      <c r="C190" s="99">
        <f ca="1">OFFSET(CashFlow!$B$35,0,ROW($A190)-ROW($A$9),1,1)</f>
        <v>0</v>
      </c>
      <c r="D190" s="96">
        <f t="shared" ca="1" si="13"/>
        <v>0</v>
      </c>
      <c r="E190" s="96">
        <f t="shared" ca="1" si="14"/>
        <v>0</v>
      </c>
      <c r="F190" s="96">
        <f t="shared" ca="1" si="15"/>
        <v>0</v>
      </c>
      <c r="G190" s="89">
        <f ca="1">IF(ROUND(SUM(B190:C190,-F190),0)=0,0,IF($B$6="Yes",SUM($C$9:C190),SUM(B190:C190,-F190)))</f>
        <v>0</v>
      </c>
    </row>
    <row r="191" spans="1:7" ht="16.149999999999999" customHeight="1" x14ac:dyDescent="0.25">
      <c r="A191" s="98">
        <v>182</v>
      </c>
      <c r="B191" s="99">
        <f t="shared" ca="1" si="12"/>
        <v>0</v>
      </c>
      <c r="C191" s="99">
        <f ca="1">OFFSET(CashFlow!$B$35,0,ROW($A191)-ROW($A$9),1,1)</f>
        <v>0</v>
      </c>
      <c r="D191" s="96">
        <f t="shared" ca="1" si="13"/>
        <v>0</v>
      </c>
      <c r="E191" s="96">
        <f t="shared" ca="1" si="14"/>
        <v>0</v>
      </c>
      <c r="F191" s="96">
        <f t="shared" ca="1" si="15"/>
        <v>0</v>
      </c>
      <c r="G191" s="89">
        <f ca="1">IF(ROUND(SUM(B191:C191,-F191),0)=0,0,IF($B$6="Yes",SUM($C$9:C191),SUM(B191:C191,-F191)))</f>
        <v>0</v>
      </c>
    </row>
    <row r="192" spans="1:7" ht="16.149999999999999" customHeight="1" x14ac:dyDescent="0.25">
      <c r="A192" s="98">
        <v>183</v>
      </c>
      <c r="B192" s="99">
        <f t="shared" ca="1" si="12"/>
        <v>0</v>
      </c>
      <c r="C192" s="99">
        <f ca="1">OFFSET(CashFlow!$B$35,0,ROW($A192)-ROW($A$9),1,1)</f>
        <v>0</v>
      </c>
      <c r="D192" s="96">
        <f t="shared" ca="1" si="13"/>
        <v>0</v>
      </c>
      <c r="E192" s="96">
        <f t="shared" ca="1" si="14"/>
        <v>0</v>
      </c>
      <c r="F192" s="96">
        <f t="shared" ca="1" si="15"/>
        <v>0</v>
      </c>
      <c r="G192" s="89">
        <f ca="1">IF(ROUND(SUM(B192:C192,-F192),0)=0,0,IF($B$6="Yes",SUM($C$9:C192),SUM(B192:C192,-F192)))</f>
        <v>0</v>
      </c>
    </row>
    <row r="193" spans="1:7" ht="16.149999999999999" customHeight="1" x14ac:dyDescent="0.25">
      <c r="A193" s="98">
        <v>184</v>
      </c>
      <c r="B193" s="99">
        <f t="shared" ca="1" si="12"/>
        <v>0</v>
      </c>
      <c r="C193" s="99">
        <f ca="1">OFFSET(CashFlow!$B$35,0,ROW($A193)-ROW($A$9),1,1)</f>
        <v>0</v>
      </c>
      <c r="D193" s="96">
        <f t="shared" ca="1" si="13"/>
        <v>0</v>
      </c>
      <c r="E193" s="96">
        <f t="shared" ca="1" si="14"/>
        <v>0</v>
      </c>
      <c r="F193" s="96">
        <f t="shared" ca="1" si="15"/>
        <v>0</v>
      </c>
      <c r="G193" s="89">
        <f ca="1">IF(ROUND(SUM(B193:C193,-F193),0)=0,0,IF($B$6="Yes",SUM($C$9:C193),SUM(B193:C193,-F193)))</f>
        <v>0</v>
      </c>
    </row>
    <row r="194" spans="1:7" ht="16.149999999999999" customHeight="1" x14ac:dyDescent="0.25">
      <c r="A194" s="98">
        <v>185</v>
      </c>
      <c r="B194" s="99">
        <f t="shared" ca="1" si="12"/>
        <v>0</v>
      </c>
      <c r="C194" s="99">
        <f ca="1">OFFSET(CashFlow!$B$35,0,ROW($A194)-ROW($A$9),1,1)</f>
        <v>0</v>
      </c>
      <c r="D194" s="96">
        <f t="shared" ca="1" si="13"/>
        <v>0</v>
      </c>
      <c r="E194" s="96">
        <f t="shared" ca="1" si="14"/>
        <v>0</v>
      </c>
      <c r="F194" s="96">
        <f t="shared" ca="1" si="15"/>
        <v>0</v>
      </c>
      <c r="G194" s="89">
        <f ca="1">IF(ROUND(SUM(B194:C194,-F194),0)=0,0,IF($B$6="Yes",SUM($C$9:C194),SUM(B194:C194,-F194)))</f>
        <v>0</v>
      </c>
    </row>
    <row r="195" spans="1:7" ht="16.149999999999999" customHeight="1" x14ac:dyDescent="0.25">
      <c r="A195" s="98">
        <v>186</v>
      </c>
      <c r="B195" s="99">
        <f t="shared" ca="1" si="12"/>
        <v>0</v>
      </c>
      <c r="C195" s="99">
        <f ca="1">OFFSET(CashFlow!$B$35,0,ROW($A195)-ROW($A$9),1,1)</f>
        <v>0</v>
      </c>
      <c r="D195" s="96">
        <f t="shared" ca="1" si="13"/>
        <v>0</v>
      </c>
      <c r="E195" s="96">
        <f t="shared" ca="1" si="14"/>
        <v>0</v>
      </c>
      <c r="F195" s="96">
        <f t="shared" ca="1" si="15"/>
        <v>0</v>
      </c>
      <c r="G195" s="89">
        <f ca="1">IF(ROUND(SUM(B195:C195,-F195),0)=0,0,IF($B$6="Yes",SUM($C$9:C195),SUM(B195:C195,-F195)))</f>
        <v>0</v>
      </c>
    </row>
    <row r="196" spans="1:7" ht="16.149999999999999" customHeight="1" x14ac:dyDescent="0.25">
      <c r="A196" s="98">
        <v>187</v>
      </c>
      <c r="B196" s="99">
        <f t="shared" ca="1" si="12"/>
        <v>0</v>
      </c>
      <c r="C196" s="99">
        <f ca="1">OFFSET(CashFlow!$B$35,0,ROW($A196)-ROW($A$9),1,1)</f>
        <v>0</v>
      </c>
      <c r="D196" s="96">
        <f t="shared" ca="1" si="13"/>
        <v>0</v>
      </c>
      <c r="E196" s="96">
        <f t="shared" ca="1" si="14"/>
        <v>0</v>
      </c>
      <c r="F196" s="96">
        <f t="shared" ca="1" si="15"/>
        <v>0</v>
      </c>
      <c r="G196" s="89">
        <f ca="1">IF(ROUND(SUM(B196:C196,-F196),0)=0,0,IF($B$6="Yes",SUM($C$9:C196),SUM(B196:C196,-F196)))</f>
        <v>0</v>
      </c>
    </row>
    <row r="197" spans="1:7" ht="16.149999999999999" customHeight="1" x14ac:dyDescent="0.25">
      <c r="A197" s="98">
        <v>188</v>
      </c>
      <c r="B197" s="99">
        <f t="shared" ca="1" si="12"/>
        <v>0</v>
      </c>
      <c r="C197" s="99">
        <f ca="1">OFFSET(CashFlow!$B$35,0,ROW($A197)-ROW($A$9),1,1)</f>
        <v>0</v>
      </c>
      <c r="D197" s="96">
        <f t="shared" ca="1" si="13"/>
        <v>0</v>
      </c>
      <c r="E197" s="96">
        <f t="shared" ca="1" si="14"/>
        <v>0</v>
      </c>
      <c r="F197" s="96">
        <f t="shared" ca="1" si="15"/>
        <v>0</v>
      </c>
      <c r="G197" s="89">
        <f ca="1">IF(ROUND(SUM(B197:C197,-F197),0)=0,0,IF($B$6="Yes",SUM($C$9:C197),SUM(B197:C197,-F197)))</f>
        <v>0</v>
      </c>
    </row>
  </sheetData>
  <sheetProtection formatCells="0" formatColumns="0" formatRows="0"/>
  <phoneticPr fontId="3" type="noConversion"/>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BE972-0E2F-4DC9-B161-F2974CD0E96B}">
  <dimension ref="B2:N50"/>
  <sheetViews>
    <sheetView workbookViewId="0">
      <selection activeCell="C7" sqref="C7:N7"/>
    </sheetView>
  </sheetViews>
  <sheetFormatPr defaultRowHeight="16.5" x14ac:dyDescent="0.3"/>
  <cols>
    <col min="1" max="1" width="9.140625" style="164"/>
    <col min="2" max="2" width="35.85546875" style="164" bestFit="1" customWidth="1"/>
    <col min="3" max="3" width="15.28515625" style="164" bestFit="1" customWidth="1"/>
    <col min="4" max="14" width="14.140625" style="164" bestFit="1" customWidth="1"/>
    <col min="15" max="16384" width="9.140625" style="164"/>
  </cols>
  <sheetData>
    <row r="2" spans="2:14" x14ac:dyDescent="0.3">
      <c r="B2" s="33"/>
      <c r="C2" s="35">
        <v>45869</v>
      </c>
      <c r="D2" s="35">
        <v>45900</v>
      </c>
      <c r="E2" s="35">
        <v>45930</v>
      </c>
      <c r="F2" s="35">
        <v>45961</v>
      </c>
      <c r="G2" s="35">
        <v>45991</v>
      </c>
      <c r="H2" s="35">
        <v>46022</v>
      </c>
      <c r="I2" s="35">
        <v>46053</v>
      </c>
      <c r="J2" s="35">
        <v>46081</v>
      </c>
      <c r="K2" s="35">
        <v>46112</v>
      </c>
      <c r="L2" s="35">
        <v>46142</v>
      </c>
      <c r="M2" s="35">
        <v>46173</v>
      </c>
      <c r="N2" s="35">
        <v>46203</v>
      </c>
    </row>
    <row r="3" spans="2:14" x14ac:dyDescent="0.3">
      <c r="B3" s="38" t="s">
        <v>82</v>
      </c>
      <c r="C3" s="38">
        <v>3332827552.5999999</v>
      </c>
      <c r="D3" s="38">
        <v>3332827552.5999999</v>
      </c>
      <c r="E3" s="38">
        <v>3332827552.5999999</v>
      </c>
      <c r="F3" s="38">
        <v>3332827552.5999999</v>
      </c>
      <c r="G3" s="38">
        <v>3332827552.5999999</v>
      </c>
      <c r="H3" s="38">
        <v>3332827552.5999999</v>
      </c>
      <c r="I3" s="38">
        <v>3332827552.5999999</v>
      </c>
      <c r="J3" s="38">
        <v>3332827552.5999999</v>
      </c>
      <c r="K3" s="38">
        <v>3332827552.5999999</v>
      </c>
      <c r="L3" s="38">
        <v>3332827552.5999999</v>
      </c>
      <c r="M3" s="38">
        <v>3332827552.5999999</v>
      </c>
      <c r="N3" s="38">
        <v>3332827552.5999999</v>
      </c>
    </row>
    <row r="4" spans="2:14" x14ac:dyDescent="0.3">
      <c r="B4" s="40" t="s">
        <v>83</v>
      </c>
      <c r="C4" s="40"/>
      <c r="D4" s="40"/>
      <c r="E4" s="40"/>
      <c r="F4" s="40"/>
      <c r="G4" s="40"/>
      <c r="H4" s="40"/>
      <c r="I4" s="40"/>
      <c r="J4" s="40"/>
      <c r="K4" s="40"/>
      <c r="L4" s="40"/>
      <c r="M4" s="40"/>
      <c r="N4" s="40"/>
    </row>
    <row r="5" spans="2:14" ht="17.25" thickBot="1" x14ac:dyDescent="0.35">
      <c r="B5" s="43" t="s">
        <v>84</v>
      </c>
      <c r="C5" s="43">
        <v>3332827552.5999999</v>
      </c>
      <c r="D5" s="43">
        <v>3332827552.5999999</v>
      </c>
      <c r="E5" s="43">
        <v>3332827552.5999999</v>
      </c>
      <c r="F5" s="43">
        <v>3332827552.5999999</v>
      </c>
      <c r="G5" s="43">
        <v>3332827552.5999999</v>
      </c>
      <c r="H5" s="43">
        <v>3332827552.5999999</v>
      </c>
      <c r="I5" s="43">
        <v>3332827552.5999999</v>
      </c>
      <c r="J5" s="43">
        <v>3332827552.5999999</v>
      </c>
      <c r="K5" s="43">
        <v>3332827552.5999999</v>
      </c>
      <c r="L5" s="43">
        <v>3332827552.5999999</v>
      </c>
      <c r="M5" s="43">
        <v>3332827552.5999999</v>
      </c>
      <c r="N5" s="43">
        <v>3332827552.5999999</v>
      </c>
    </row>
    <row r="6" spans="2:14" x14ac:dyDescent="0.3">
      <c r="B6" s="67"/>
      <c r="C6" s="67"/>
      <c r="D6" s="67"/>
      <c r="E6" s="67"/>
      <c r="F6" s="67"/>
      <c r="G6" s="67"/>
      <c r="H6" s="67"/>
      <c r="I6" s="67"/>
      <c r="J6" s="67"/>
      <c r="K6" s="67"/>
      <c r="L6" s="67"/>
      <c r="M6" s="67"/>
      <c r="N6" s="67"/>
    </row>
    <row r="7" spans="2:14" x14ac:dyDescent="0.3">
      <c r="B7" s="41" t="s">
        <v>400</v>
      </c>
      <c r="C7" s="41">
        <v>1999696531.5600002</v>
      </c>
      <c r="D7" s="41">
        <v>1999696531.5600002</v>
      </c>
      <c r="E7" s="41">
        <v>1999696531.5600002</v>
      </c>
      <c r="F7" s="41">
        <v>1999696531.5600002</v>
      </c>
      <c r="G7" s="41">
        <v>1999696531.5600002</v>
      </c>
      <c r="H7" s="41">
        <v>1999696531.5600002</v>
      </c>
      <c r="I7" s="41">
        <v>1999696531.5600002</v>
      </c>
      <c r="J7" s="41">
        <v>1999696531.5600002</v>
      </c>
      <c r="K7" s="41">
        <v>1999696531.5600002</v>
      </c>
      <c r="L7" s="41">
        <v>1999696531.5600002</v>
      </c>
      <c r="M7" s="41">
        <v>1999696531.5600002</v>
      </c>
      <c r="N7" s="41">
        <v>1999696531.5600002</v>
      </c>
    </row>
    <row r="8" spans="2:14" x14ac:dyDescent="0.3">
      <c r="B8" s="41" t="s">
        <v>401</v>
      </c>
      <c r="C8" s="41">
        <v>0</v>
      </c>
      <c r="D8" s="41"/>
      <c r="E8" s="41"/>
      <c r="F8" s="41"/>
      <c r="G8" s="41"/>
      <c r="H8" s="41"/>
      <c r="I8" s="41"/>
      <c r="J8" s="41"/>
      <c r="K8" s="41"/>
      <c r="L8" s="41"/>
      <c r="M8" s="41"/>
      <c r="N8" s="41"/>
    </row>
    <row r="9" spans="2:14" ht="17.25" thickBot="1" x14ac:dyDescent="0.35">
      <c r="B9" s="44" t="s">
        <v>88</v>
      </c>
      <c r="C9" s="44">
        <v>1999696531.5600002</v>
      </c>
      <c r="D9" s="44">
        <v>1999696531.5600002</v>
      </c>
      <c r="E9" s="44">
        <v>1999696531.5600002</v>
      </c>
      <c r="F9" s="44">
        <v>1999696531.5600002</v>
      </c>
      <c r="G9" s="44">
        <v>1999696531.5600002</v>
      </c>
      <c r="H9" s="44">
        <v>1999696531.5600002</v>
      </c>
      <c r="I9" s="44">
        <v>1999696531.5600002</v>
      </c>
      <c r="J9" s="44">
        <v>1999696531.5600002</v>
      </c>
      <c r="K9" s="44">
        <v>1999696531.5600002</v>
      </c>
      <c r="L9" s="44">
        <v>1999696531.5600002</v>
      </c>
      <c r="M9" s="44">
        <v>1999696531.5600002</v>
      </c>
      <c r="N9" s="44">
        <v>1999696531.5600002</v>
      </c>
    </row>
    <row r="10" spans="2:14" x14ac:dyDescent="0.3">
      <c r="B10" s="51"/>
      <c r="C10" s="51"/>
      <c r="D10" s="51"/>
      <c r="E10" s="51"/>
      <c r="F10" s="51"/>
      <c r="G10" s="51"/>
      <c r="H10" s="51"/>
      <c r="I10" s="51"/>
      <c r="J10" s="51"/>
      <c r="K10" s="51"/>
      <c r="L10" s="51"/>
      <c r="M10" s="51"/>
      <c r="N10" s="51"/>
    </row>
    <row r="11" spans="2:14" x14ac:dyDescent="0.3">
      <c r="B11" s="41" t="s">
        <v>85</v>
      </c>
      <c r="C11" s="41">
        <v>1333131021.04</v>
      </c>
      <c r="D11" s="41">
        <v>1333131021.04</v>
      </c>
      <c r="E11" s="41">
        <v>1333131021.04</v>
      </c>
      <c r="F11" s="41">
        <v>1333131021.04</v>
      </c>
      <c r="G11" s="41">
        <v>1333131021.04</v>
      </c>
      <c r="H11" s="41">
        <v>1333131021.04</v>
      </c>
      <c r="I11" s="41">
        <v>1333131021.04</v>
      </c>
      <c r="J11" s="41">
        <v>1333131021.04</v>
      </c>
      <c r="K11" s="41">
        <v>1333131021.04</v>
      </c>
      <c r="L11" s="41">
        <v>1333131021.04</v>
      </c>
      <c r="M11" s="41">
        <v>1333131021.04</v>
      </c>
      <c r="N11" s="41">
        <v>1333131021.04</v>
      </c>
    </row>
    <row r="12" spans="2:14" x14ac:dyDescent="0.3">
      <c r="B12" s="41" t="s">
        <v>87</v>
      </c>
      <c r="C12" s="41">
        <v>0</v>
      </c>
      <c r="D12" s="41"/>
      <c r="E12" s="41"/>
      <c r="F12" s="41"/>
      <c r="G12" s="41"/>
      <c r="H12" s="41"/>
      <c r="I12" s="41"/>
      <c r="J12" s="41"/>
      <c r="K12" s="41"/>
      <c r="L12" s="41"/>
      <c r="M12" s="41"/>
      <c r="N12" s="41"/>
    </row>
    <row r="13" spans="2:14" ht="17.25" thickBot="1" x14ac:dyDescent="0.35">
      <c r="B13" s="44" t="s">
        <v>89</v>
      </c>
      <c r="C13" s="44">
        <v>1333131021.04</v>
      </c>
      <c r="D13" s="44">
        <v>1333131021.04</v>
      </c>
      <c r="E13" s="44">
        <v>1333131021.04</v>
      </c>
      <c r="F13" s="44">
        <v>1333131021.04</v>
      </c>
      <c r="G13" s="44">
        <v>1333131021.04</v>
      </c>
      <c r="H13" s="44">
        <v>1333131021.04</v>
      </c>
      <c r="I13" s="44">
        <v>1333131021.04</v>
      </c>
      <c r="J13" s="44">
        <v>1333131021.04</v>
      </c>
      <c r="K13" s="44">
        <v>1333131021.04</v>
      </c>
      <c r="L13" s="44">
        <v>1333131021.04</v>
      </c>
      <c r="M13" s="44">
        <v>1333131021.04</v>
      </c>
      <c r="N13" s="44">
        <v>1333131021.04</v>
      </c>
    </row>
    <row r="14" spans="2:14" x14ac:dyDescent="0.3">
      <c r="B14" s="51"/>
      <c r="C14" s="51"/>
      <c r="D14" s="51"/>
      <c r="E14" s="51"/>
      <c r="F14" s="51"/>
      <c r="G14" s="51"/>
      <c r="H14" s="51"/>
      <c r="I14" s="51"/>
      <c r="J14" s="51"/>
      <c r="K14" s="51"/>
      <c r="L14" s="51"/>
      <c r="M14" s="51"/>
      <c r="N14" s="51"/>
    </row>
    <row r="15" spans="2:14" x14ac:dyDescent="0.3">
      <c r="B15" s="41" t="s">
        <v>85</v>
      </c>
      <c r="C15" s="46">
        <v>0.4</v>
      </c>
      <c r="D15" s="46">
        <v>0.4</v>
      </c>
      <c r="E15" s="46">
        <v>0.4</v>
      </c>
      <c r="F15" s="46">
        <v>0.4</v>
      </c>
      <c r="G15" s="46">
        <v>0.4</v>
      </c>
      <c r="H15" s="46">
        <v>0.4</v>
      </c>
      <c r="I15" s="46">
        <v>0.4</v>
      </c>
      <c r="J15" s="46">
        <v>0.4</v>
      </c>
      <c r="K15" s="46">
        <v>0.4</v>
      </c>
      <c r="L15" s="46">
        <v>0.4</v>
      </c>
      <c r="M15" s="46">
        <v>0.4</v>
      </c>
      <c r="N15" s="46">
        <v>0.4</v>
      </c>
    </row>
    <row r="16" spans="2:14" x14ac:dyDescent="0.3">
      <c r="B16" s="41" t="s">
        <v>87</v>
      </c>
      <c r="C16" s="137"/>
      <c r="D16" s="137"/>
      <c r="E16" s="137"/>
      <c r="F16" s="137"/>
      <c r="G16" s="137"/>
      <c r="H16" s="137"/>
      <c r="I16" s="137"/>
      <c r="J16" s="137"/>
      <c r="K16" s="137"/>
      <c r="L16" s="137"/>
      <c r="M16" s="137"/>
      <c r="N16" s="137"/>
    </row>
    <row r="17" spans="2:14" ht="17.25" thickBot="1" x14ac:dyDescent="0.35">
      <c r="B17" s="49" t="s">
        <v>5</v>
      </c>
      <c r="C17" s="49">
        <v>0.4</v>
      </c>
      <c r="D17" s="49">
        <v>0.4</v>
      </c>
      <c r="E17" s="49">
        <v>0.4</v>
      </c>
      <c r="F17" s="49">
        <v>0.4</v>
      </c>
      <c r="G17" s="49">
        <v>0.4</v>
      </c>
      <c r="H17" s="49">
        <v>0.4</v>
      </c>
      <c r="I17" s="49">
        <v>0.4</v>
      </c>
      <c r="J17" s="49">
        <v>0.4</v>
      </c>
      <c r="K17" s="49">
        <v>0.4</v>
      </c>
      <c r="L17" s="49">
        <v>0.4</v>
      </c>
      <c r="M17" s="49">
        <v>0.4</v>
      </c>
      <c r="N17" s="49">
        <v>0.4</v>
      </c>
    </row>
    <row r="18" spans="2:14" x14ac:dyDescent="0.3">
      <c r="B18" s="41"/>
      <c r="C18" s="41"/>
      <c r="D18" s="41"/>
      <c r="E18" s="41"/>
      <c r="F18" s="41"/>
      <c r="G18" s="41"/>
      <c r="H18" s="41"/>
      <c r="I18" s="41"/>
      <c r="J18" s="41"/>
      <c r="K18" s="41"/>
      <c r="L18" s="41"/>
      <c r="M18" s="41"/>
      <c r="N18" s="41"/>
    </row>
    <row r="19" spans="2:14" x14ac:dyDescent="0.3">
      <c r="B19" s="41" t="s">
        <v>72</v>
      </c>
      <c r="C19" s="41">
        <v>51657533.31666667</v>
      </c>
      <c r="D19" s="41">
        <v>51139779.296920076</v>
      </c>
      <c r="E19" s="41">
        <v>50613569.139184229</v>
      </c>
      <c r="F19" s="41">
        <v>50078771.8352772</v>
      </c>
      <c r="G19" s="41">
        <v>49535254.40893881</v>
      </c>
      <c r="H19" s="41">
        <v>48982881.886828393</v>
      </c>
      <c r="I19" s="41">
        <v>48421517.269100204</v>
      </c>
      <c r="J19" s="41">
        <v>47851021.499550715</v>
      </c>
      <c r="K19" s="41">
        <v>47271253.435331821</v>
      </c>
      <c r="L19" s="41">
        <v>46682069.81622301</v>
      </c>
      <c r="M19" s="41">
        <v>46083325.233456865</v>
      </c>
      <c r="N19" s="41">
        <v>45474872.098091051</v>
      </c>
    </row>
    <row r="20" spans="2:14" x14ac:dyDescent="0.3">
      <c r="B20" s="41" t="s">
        <v>396</v>
      </c>
      <c r="C20" s="41">
        <v>56318535.937333338</v>
      </c>
      <c r="D20" s="41">
        <v>56318535.937333338</v>
      </c>
      <c r="E20" s="41">
        <v>56318535.937333338</v>
      </c>
      <c r="F20" s="41">
        <v>56318535.937333338</v>
      </c>
      <c r="G20" s="41">
        <v>56318535.937333338</v>
      </c>
      <c r="H20" s="41">
        <v>56318535.937333338</v>
      </c>
      <c r="I20" s="41">
        <v>56318535.937333338</v>
      </c>
      <c r="J20" s="41">
        <v>56318535.937333338</v>
      </c>
      <c r="K20" s="41">
        <v>56318535.937333338</v>
      </c>
      <c r="L20" s="41">
        <v>56318535.937333338</v>
      </c>
      <c r="M20" s="41">
        <v>56318535.937333338</v>
      </c>
      <c r="N20" s="41">
        <v>56318535.937333338</v>
      </c>
    </row>
    <row r="21" spans="2:14" x14ac:dyDescent="0.3">
      <c r="B21" s="41" t="s">
        <v>397</v>
      </c>
      <c r="C21" s="41">
        <v>8800000</v>
      </c>
      <c r="D21" s="41">
        <v>8800000</v>
      </c>
      <c r="E21" s="41">
        <v>8800000</v>
      </c>
      <c r="F21" s="41">
        <v>8800000</v>
      </c>
      <c r="G21" s="41">
        <v>8800000</v>
      </c>
      <c r="H21" s="41">
        <v>8800000</v>
      </c>
      <c r="I21" s="41">
        <v>8800000</v>
      </c>
      <c r="J21" s="41">
        <v>8800000</v>
      </c>
      <c r="K21" s="41">
        <v>8800000</v>
      </c>
      <c r="L21" s="41">
        <v>8800000</v>
      </c>
      <c r="M21" s="41">
        <v>8800000</v>
      </c>
      <c r="N21" s="41">
        <v>8800000</v>
      </c>
    </row>
    <row r="22" spans="2:14" x14ac:dyDescent="0.3">
      <c r="B22" s="50" t="s">
        <v>96</v>
      </c>
      <c r="C22" s="50">
        <v>116776069.25400001</v>
      </c>
      <c r="D22" s="50">
        <v>116258315.23425341</v>
      </c>
      <c r="E22" s="50">
        <v>115732105.07651757</v>
      </c>
      <c r="F22" s="50">
        <v>115197307.77261055</v>
      </c>
      <c r="G22" s="50">
        <v>114653790.34627214</v>
      </c>
      <c r="H22" s="50">
        <v>114101417.82416174</v>
      </c>
      <c r="I22" s="50">
        <v>113540053.20643353</v>
      </c>
      <c r="J22" s="50">
        <v>112969557.43688405</v>
      </c>
      <c r="K22" s="50">
        <v>112389789.37266517</v>
      </c>
      <c r="L22" s="50">
        <v>111800605.75355634</v>
      </c>
      <c r="M22" s="50">
        <v>111201861.1707902</v>
      </c>
      <c r="N22" s="50">
        <v>110593408.03542438</v>
      </c>
    </row>
    <row r="23" spans="2:14" x14ac:dyDescent="0.3">
      <c r="B23" s="51"/>
      <c r="C23" s="51"/>
      <c r="D23" s="51"/>
      <c r="E23" s="51"/>
      <c r="F23" s="51"/>
      <c r="G23" s="51"/>
      <c r="H23" s="51"/>
      <c r="I23" s="51"/>
      <c r="J23" s="51"/>
      <c r="K23" s="51"/>
      <c r="L23" s="51"/>
      <c r="M23" s="51"/>
      <c r="N23" s="51"/>
    </row>
    <row r="24" spans="2:14" x14ac:dyDescent="0.3">
      <c r="B24" s="51" t="s">
        <v>398</v>
      </c>
      <c r="C24" s="51"/>
      <c r="D24" s="51"/>
      <c r="E24" s="51"/>
      <c r="F24" s="51"/>
      <c r="G24" s="51"/>
      <c r="H24" s="51"/>
      <c r="I24" s="51"/>
      <c r="J24" s="51"/>
      <c r="K24" s="51"/>
      <c r="L24" s="51"/>
      <c r="M24" s="51"/>
      <c r="N24" s="51"/>
    </row>
    <row r="25" spans="2:14" x14ac:dyDescent="0.3">
      <c r="B25" s="41" t="s">
        <v>399</v>
      </c>
      <c r="C25" s="41">
        <v>78567382.875</v>
      </c>
      <c r="D25" s="41">
        <v>78567382.875</v>
      </c>
      <c r="E25" s="41">
        <v>78567382.875</v>
      </c>
      <c r="F25" s="41">
        <v>78567382.875</v>
      </c>
      <c r="G25" s="41">
        <v>78567382.875</v>
      </c>
      <c r="H25" s="41">
        <v>78567382.875</v>
      </c>
      <c r="I25" s="41">
        <v>78567382.875</v>
      </c>
      <c r="J25" s="41">
        <v>78567382.875</v>
      </c>
      <c r="K25" s="41">
        <v>78567382.875</v>
      </c>
      <c r="L25" s="41">
        <v>78567382.875</v>
      </c>
      <c r="M25" s="41">
        <v>78567382.875</v>
      </c>
      <c r="N25" s="41">
        <v>78567382.875</v>
      </c>
    </row>
    <row r="26" spans="2:14" x14ac:dyDescent="0.3">
      <c r="B26" s="41"/>
      <c r="C26" s="41"/>
      <c r="D26" s="41"/>
      <c r="E26" s="41"/>
      <c r="F26" s="41"/>
      <c r="G26" s="41"/>
      <c r="H26" s="41"/>
      <c r="I26" s="41"/>
      <c r="J26" s="41"/>
      <c r="K26" s="41"/>
      <c r="L26" s="41"/>
      <c r="M26" s="41"/>
      <c r="N26" s="41"/>
    </row>
    <row r="27" spans="2:14" ht="17.25" thickBot="1" x14ac:dyDescent="0.35">
      <c r="B27" s="44" t="s">
        <v>98</v>
      </c>
      <c r="C27" s="44">
        <v>78567382.875</v>
      </c>
      <c r="D27" s="44">
        <v>78567382.875</v>
      </c>
      <c r="E27" s="44">
        <v>78567382.875</v>
      </c>
      <c r="F27" s="44">
        <v>78567382.875</v>
      </c>
      <c r="G27" s="44">
        <v>78567382.875</v>
      </c>
      <c r="H27" s="44">
        <v>78567382.875</v>
      </c>
      <c r="I27" s="44">
        <v>78567382.875</v>
      </c>
      <c r="J27" s="44">
        <v>78567382.875</v>
      </c>
      <c r="K27" s="44">
        <v>78567382.875</v>
      </c>
      <c r="L27" s="44">
        <v>78567382.875</v>
      </c>
      <c r="M27" s="44">
        <v>78567382.875</v>
      </c>
      <c r="N27" s="44">
        <v>78567382.875</v>
      </c>
    </row>
    <row r="28" spans="2:14" x14ac:dyDescent="0.3">
      <c r="B28" s="51"/>
      <c r="C28" s="51"/>
      <c r="D28" s="51"/>
      <c r="E28" s="51"/>
      <c r="F28" s="51"/>
      <c r="G28" s="51"/>
      <c r="H28" s="51"/>
      <c r="I28" s="51"/>
      <c r="J28" s="51"/>
      <c r="K28" s="51"/>
      <c r="L28" s="51"/>
      <c r="M28" s="51"/>
      <c r="N28" s="51"/>
    </row>
    <row r="29" spans="2:14" x14ac:dyDescent="0.3">
      <c r="B29" s="41" t="s">
        <v>75</v>
      </c>
      <c r="C29" s="41"/>
      <c r="D29" s="41"/>
      <c r="E29" s="41"/>
      <c r="F29" s="41"/>
      <c r="G29" s="41"/>
      <c r="H29" s="41"/>
      <c r="I29" s="41"/>
      <c r="J29" s="41"/>
      <c r="K29" s="41"/>
      <c r="L29" s="41"/>
      <c r="M29" s="41"/>
      <c r="N29" s="41"/>
    </row>
    <row r="30" spans="2:14" x14ac:dyDescent="0.3">
      <c r="B30" s="41" t="s">
        <v>46</v>
      </c>
      <c r="C30" s="41"/>
      <c r="D30" s="41"/>
      <c r="E30" s="41"/>
      <c r="F30" s="41"/>
      <c r="G30" s="41"/>
      <c r="H30" s="41"/>
      <c r="I30" s="41"/>
      <c r="J30" s="41"/>
      <c r="K30" s="41"/>
      <c r="L30" s="41"/>
      <c r="M30" s="41"/>
      <c r="N30" s="41"/>
    </row>
    <row r="31" spans="2:14" x14ac:dyDescent="0.3">
      <c r="B31" s="41" t="s">
        <v>101</v>
      </c>
      <c r="C31" s="41"/>
      <c r="D31" s="41"/>
      <c r="E31" s="41"/>
      <c r="F31" s="41"/>
      <c r="G31" s="41"/>
      <c r="H31" s="41"/>
      <c r="I31" s="41"/>
      <c r="J31" s="41"/>
      <c r="K31" s="41"/>
      <c r="L31" s="41"/>
      <c r="M31" s="41"/>
      <c r="N31" s="41"/>
    </row>
    <row r="32" spans="2:14" ht="17.25" thickBot="1" x14ac:dyDescent="0.35">
      <c r="B32" s="44" t="s">
        <v>102</v>
      </c>
      <c r="C32" s="44">
        <v>0</v>
      </c>
      <c r="D32" s="44">
        <v>0</v>
      </c>
      <c r="E32" s="44">
        <v>0</v>
      </c>
      <c r="F32" s="44">
        <v>0</v>
      </c>
      <c r="G32" s="44">
        <v>0</v>
      </c>
      <c r="H32" s="44">
        <v>0</v>
      </c>
      <c r="I32" s="44">
        <v>0</v>
      </c>
      <c r="J32" s="44">
        <v>0</v>
      </c>
      <c r="K32" s="44">
        <v>0</v>
      </c>
      <c r="L32" s="44">
        <v>0</v>
      </c>
      <c r="M32" s="44">
        <v>0</v>
      </c>
      <c r="N32" s="44">
        <v>0</v>
      </c>
    </row>
    <row r="33" spans="2:14" x14ac:dyDescent="0.3">
      <c r="B33" s="51"/>
      <c r="C33" s="51"/>
      <c r="D33" s="51"/>
      <c r="E33" s="51"/>
      <c r="F33" s="51"/>
      <c r="G33" s="51"/>
      <c r="H33" s="51"/>
      <c r="I33" s="51"/>
      <c r="J33" s="51"/>
      <c r="K33" s="51"/>
      <c r="L33" s="51"/>
      <c r="M33" s="51"/>
      <c r="N33" s="51"/>
    </row>
    <row r="34" spans="2:14" x14ac:dyDescent="0.3">
      <c r="B34" s="51" t="s">
        <v>48</v>
      </c>
      <c r="C34" s="51">
        <v>1137787568.911</v>
      </c>
      <c r="D34" s="51">
        <v>1138305322.9307466</v>
      </c>
      <c r="E34" s="51">
        <v>1138831533.0884824</v>
      </c>
      <c r="F34" s="51">
        <v>1139366330.3923893</v>
      </c>
      <c r="G34" s="51">
        <v>1139909847.8187277</v>
      </c>
      <c r="H34" s="51">
        <v>1140462220.3408382</v>
      </c>
      <c r="I34" s="51">
        <v>1141023584.9585664</v>
      </c>
      <c r="J34" s="51">
        <v>1141594080.728116</v>
      </c>
      <c r="K34" s="51">
        <v>1142173848.7923348</v>
      </c>
      <c r="L34" s="51">
        <v>1142763032.4114437</v>
      </c>
      <c r="M34" s="51">
        <v>1143361776.9942098</v>
      </c>
      <c r="N34" s="51">
        <v>1143970230.1295755</v>
      </c>
    </row>
    <row r="35" spans="2:14" x14ac:dyDescent="0.3">
      <c r="B35" s="51"/>
      <c r="C35" s="51"/>
      <c r="D35" s="51"/>
      <c r="E35" s="51"/>
      <c r="F35" s="51"/>
      <c r="G35" s="51"/>
      <c r="H35" s="51"/>
      <c r="I35" s="51"/>
      <c r="J35" s="51"/>
      <c r="K35" s="51"/>
      <c r="L35" s="51"/>
      <c r="M35" s="51"/>
      <c r="N35" s="51"/>
    </row>
    <row r="36" spans="2:14" x14ac:dyDescent="0.3">
      <c r="B36" s="41" t="s">
        <v>106</v>
      </c>
      <c r="C36" s="41"/>
      <c r="D36" s="41"/>
      <c r="E36" s="41"/>
      <c r="F36" s="41"/>
      <c r="G36" s="41"/>
      <c r="H36" s="41"/>
      <c r="I36" s="41"/>
      <c r="J36" s="41"/>
      <c r="K36" s="41"/>
      <c r="L36" s="41"/>
      <c r="M36" s="41"/>
      <c r="N36" s="41"/>
    </row>
    <row r="37" spans="2:14" x14ac:dyDescent="0.3">
      <c r="B37" s="41" t="s">
        <v>108</v>
      </c>
      <c r="C37" s="41">
        <v>21978079.960000001</v>
      </c>
      <c r="D37" s="41">
        <v>21708970.509715196</v>
      </c>
      <c r="E37" s="41">
        <v>21437169.964927532</v>
      </c>
      <c r="F37" s="41">
        <v>21162651.414692003</v>
      </c>
      <c r="G37" s="41">
        <v>20885387.67895411</v>
      </c>
      <c r="H37" s="41">
        <v>20605351.305858847</v>
      </c>
      <c r="I37" s="41">
        <v>20322514.569032628</v>
      </c>
      <c r="J37" s="41">
        <v>20036849.464838143</v>
      </c>
      <c r="K37" s="41">
        <v>19748327.709601726</v>
      </c>
      <c r="L37" s="41">
        <v>19456920.736812931</v>
      </c>
      <c r="M37" s="41">
        <v>19162599.694296252</v>
      </c>
      <c r="N37" s="41">
        <v>18865335.441354405</v>
      </c>
    </row>
    <row r="38" spans="2:14" ht="17.25" thickBot="1" x14ac:dyDescent="0.35">
      <c r="B38" s="44" t="s">
        <v>109</v>
      </c>
      <c r="C38" s="44">
        <v>21978079.960000001</v>
      </c>
      <c r="D38" s="44">
        <v>21708970.509715196</v>
      </c>
      <c r="E38" s="44">
        <v>21437169.964927532</v>
      </c>
      <c r="F38" s="44">
        <v>21162651.414692003</v>
      </c>
      <c r="G38" s="44">
        <v>20885387.67895411</v>
      </c>
      <c r="H38" s="44">
        <v>20605351.305858847</v>
      </c>
      <c r="I38" s="44">
        <v>20322514.569032628</v>
      </c>
      <c r="J38" s="44">
        <v>20036849.464838143</v>
      </c>
      <c r="K38" s="44">
        <v>19748327.709601726</v>
      </c>
      <c r="L38" s="44">
        <v>19456920.736812931</v>
      </c>
      <c r="M38" s="44">
        <v>19162599.694296252</v>
      </c>
      <c r="N38" s="44">
        <v>18865335.441354405</v>
      </c>
    </row>
    <row r="39" spans="2:14" x14ac:dyDescent="0.3">
      <c r="B39" s="51"/>
      <c r="C39" s="51"/>
      <c r="D39" s="51"/>
      <c r="E39" s="51"/>
      <c r="F39" s="51"/>
      <c r="G39" s="51"/>
      <c r="H39" s="51"/>
      <c r="I39" s="51"/>
      <c r="J39" s="51"/>
      <c r="K39" s="51"/>
      <c r="L39" s="51"/>
      <c r="M39" s="51"/>
      <c r="N39" s="51"/>
    </row>
    <row r="40" spans="2:14" x14ac:dyDescent="0.3">
      <c r="B40" s="51" t="s">
        <v>110</v>
      </c>
      <c r="C40" s="51">
        <v>1115809488.951</v>
      </c>
      <c r="D40" s="51">
        <v>1116596352.4210315</v>
      </c>
      <c r="E40" s="51">
        <v>1117394363.1235549</v>
      </c>
      <c r="F40" s="51">
        <v>1118203678.9776974</v>
      </c>
      <c r="G40" s="51">
        <v>1119024460.1397736</v>
      </c>
      <c r="H40" s="51">
        <v>1119856869.0349793</v>
      </c>
      <c r="I40" s="51">
        <v>1120701070.3895338</v>
      </c>
      <c r="J40" s="51">
        <v>1121557231.263278</v>
      </c>
      <c r="K40" s="51">
        <v>1122425521.0827332</v>
      </c>
      <c r="L40" s="51">
        <v>1123306111.6746309</v>
      </c>
      <c r="M40" s="51">
        <v>1124199177.2999134</v>
      </c>
      <c r="N40" s="51">
        <v>1125104894.688221</v>
      </c>
    </row>
    <row r="41" spans="2:14" x14ac:dyDescent="0.3">
      <c r="B41" s="51"/>
      <c r="C41" s="51"/>
      <c r="D41" s="51"/>
      <c r="E41" s="51"/>
      <c r="F41" s="51"/>
      <c r="G41" s="51"/>
      <c r="H41" s="51"/>
      <c r="I41" s="51"/>
      <c r="J41" s="51"/>
      <c r="K41" s="51"/>
      <c r="L41" s="51"/>
      <c r="M41" s="51"/>
      <c r="N41" s="51"/>
    </row>
    <row r="42" spans="2:14" x14ac:dyDescent="0.3">
      <c r="B42" s="41" t="s">
        <v>19</v>
      </c>
      <c r="C42" s="41">
        <v>341336270.67329997</v>
      </c>
      <c r="D42" s="41">
        <v>341491596.87922394</v>
      </c>
      <c r="E42" s="41">
        <v>341649459.92654473</v>
      </c>
      <c r="F42" s="41">
        <v>341809899.11771679</v>
      </c>
      <c r="G42" s="41">
        <v>341972954.34561831</v>
      </c>
      <c r="H42" s="41">
        <v>342138666.10225147</v>
      </c>
      <c r="I42" s="41">
        <v>342307075.48756993</v>
      </c>
      <c r="J42" s="41">
        <v>342478224.21843481</v>
      </c>
      <c r="K42" s="41">
        <v>342652154.63770044</v>
      </c>
      <c r="L42" s="41">
        <v>342828909.72343308</v>
      </c>
      <c r="M42" s="41">
        <v>343008533.09826291</v>
      </c>
      <c r="N42" s="41">
        <v>343191069.03887266</v>
      </c>
    </row>
    <row r="43" spans="2:14" x14ac:dyDescent="0.3">
      <c r="B43" s="41"/>
      <c r="C43" s="41"/>
      <c r="D43" s="41"/>
      <c r="E43" s="41"/>
      <c r="F43" s="41"/>
      <c r="G43" s="41"/>
      <c r="H43" s="41"/>
      <c r="I43" s="41"/>
      <c r="J43" s="41"/>
      <c r="K43" s="41"/>
      <c r="L43" s="41"/>
      <c r="M43" s="41"/>
      <c r="N43" s="41"/>
    </row>
    <row r="44" spans="2:14" x14ac:dyDescent="0.3">
      <c r="B44" s="51" t="s">
        <v>47</v>
      </c>
      <c r="C44" s="51">
        <v>774473218.27769995</v>
      </c>
      <c r="D44" s="51">
        <v>775104755.54180753</v>
      </c>
      <c r="E44" s="51">
        <v>775744903.19701028</v>
      </c>
      <c r="F44" s="51">
        <v>776393779.85998058</v>
      </c>
      <c r="G44" s="51">
        <v>777051505.79415536</v>
      </c>
      <c r="H44" s="51">
        <v>777718202.93272781</v>
      </c>
      <c r="I44" s="51">
        <v>778393994.90196383</v>
      </c>
      <c r="J44" s="51">
        <v>779079007.0448432</v>
      </c>
      <c r="K44" s="51">
        <v>779773366.44503272</v>
      </c>
      <c r="L44" s="51">
        <v>780477201.95119786</v>
      </c>
      <c r="M44" s="51">
        <v>781190644.2016505</v>
      </c>
      <c r="N44" s="51">
        <v>781913825.64934826</v>
      </c>
    </row>
    <row r="45" spans="2:14" x14ac:dyDescent="0.3">
      <c r="B45" s="51"/>
      <c r="C45" s="51"/>
      <c r="D45" s="51"/>
      <c r="E45" s="51"/>
      <c r="F45" s="51"/>
      <c r="G45" s="51"/>
      <c r="H45" s="51"/>
      <c r="I45" s="51"/>
      <c r="J45" s="51"/>
      <c r="K45" s="51"/>
      <c r="L45" s="51"/>
      <c r="M45" s="51"/>
      <c r="N45" s="51"/>
    </row>
    <row r="46" spans="2:14" x14ac:dyDescent="0.3">
      <c r="B46" s="41" t="s">
        <v>216</v>
      </c>
      <c r="C46" s="41">
        <v>162639375.83831698</v>
      </c>
      <c r="D46" s="41">
        <v>162771998.66377959</v>
      </c>
      <c r="E46" s="41">
        <v>162906429.67137215</v>
      </c>
      <c r="F46" s="41">
        <v>163042693.77059591</v>
      </c>
      <c r="G46" s="41">
        <v>163180816.21677262</v>
      </c>
      <c r="H46" s="41">
        <v>163320822.61587283</v>
      </c>
      <c r="I46" s="41">
        <v>163462738.92941239</v>
      </c>
      <c r="J46" s="41">
        <v>163606591.47941706</v>
      </c>
      <c r="K46" s="41">
        <v>163752406.95345688</v>
      </c>
      <c r="L46" s="41">
        <v>163900212.40975153</v>
      </c>
      <c r="M46" s="41">
        <v>164050035.28234661</v>
      </c>
      <c r="N46" s="41">
        <v>164201903.38636312</v>
      </c>
    </row>
    <row r="47" spans="2:14" x14ac:dyDescent="0.3">
      <c r="B47" s="41"/>
      <c r="C47" s="41"/>
      <c r="D47" s="41"/>
      <c r="E47" s="41"/>
      <c r="F47" s="41"/>
      <c r="G47" s="41"/>
      <c r="H47" s="41"/>
      <c r="I47" s="41"/>
      <c r="J47" s="41"/>
      <c r="K47" s="41"/>
      <c r="L47" s="41"/>
      <c r="M47" s="41"/>
      <c r="N47" s="41"/>
    </row>
    <row r="48" spans="2:14" x14ac:dyDescent="0.3">
      <c r="B48" s="51" t="s">
        <v>217</v>
      </c>
      <c r="C48" s="51">
        <v>611833842.43938303</v>
      </c>
      <c r="D48" s="51">
        <v>612332756.87802792</v>
      </c>
      <c r="E48" s="51">
        <v>612838473.5256381</v>
      </c>
      <c r="F48" s="51">
        <v>613351086.08938468</v>
      </c>
      <c r="G48" s="51">
        <v>613870689.5773828</v>
      </c>
      <c r="H48" s="51">
        <v>614397380.31685495</v>
      </c>
      <c r="I48" s="51">
        <v>614931255.97255147</v>
      </c>
      <c r="J48" s="51">
        <v>615472415.56542611</v>
      </c>
      <c r="K48" s="51">
        <v>616020959.49157584</v>
      </c>
      <c r="L48" s="51">
        <v>616576989.54144633</v>
      </c>
      <c r="M48" s="51">
        <v>617140608.91930389</v>
      </c>
      <c r="N48" s="51">
        <v>617711922.26298511</v>
      </c>
    </row>
    <row r="49" spans="2:14" x14ac:dyDescent="0.3">
      <c r="B49" s="52" t="s">
        <v>112</v>
      </c>
      <c r="C49" s="52">
        <v>0.23237722506030029</v>
      </c>
      <c r="D49" s="52">
        <v>0.23256671499163947</v>
      </c>
      <c r="E49" s="52">
        <v>0.23275878843231401</v>
      </c>
      <c r="F49" s="52">
        <v>0.23295348097272586</v>
      </c>
      <c r="G49" s="52">
        <v>0.23315082869738135</v>
      </c>
      <c r="H49" s="52">
        <v>0.23335086819178977</v>
      </c>
      <c r="I49" s="52">
        <v>0.23355363654945915</v>
      </c>
      <c r="J49" s="52">
        <v>0.23375917137898999</v>
      </c>
      <c r="K49" s="52">
        <v>0.2339675108112681</v>
      </c>
      <c r="L49" s="52">
        <v>0.23417869350675924</v>
      </c>
      <c r="M49" s="52">
        <v>0.23439275866290452</v>
      </c>
      <c r="N49" s="52">
        <v>0.23460974602162146</v>
      </c>
    </row>
    <row r="50" spans="2:14" x14ac:dyDescent="0.3">
      <c r="B50" s="54"/>
      <c r="C50" s="54"/>
      <c r="D50" s="54"/>
      <c r="E50" s="54"/>
      <c r="F50" s="54"/>
      <c r="G50" s="54"/>
      <c r="H50" s="54"/>
      <c r="I50" s="54"/>
      <c r="J50" s="54"/>
      <c r="K50" s="54"/>
      <c r="L50" s="54"/>
      <c r="M50" s="54"/>
      <c r="N50" s="54"/>
    </row>
  </sheetData>
  <phoneticPr fontId="3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0FB4-9354-4AA5-BE43-A59A65AF7E34}">
  <dimension ref="B2:N40"/>
  <sheetViews>
    <sheetView tabSelected="1" workbookViewId="0">
      <selection activeCell="C24" sqref="C24"/>
    </sheetView>
  </sheetViews>
  <sheetFormatPr defaultRowHeight="13.5" x14ac:dyDescent="0.25"/>
  <cols>
    <col min="2" max="2" width="27.5703125" bestFit="1" customWidth="1"/>
    <col min="3" max="3" width="14.28515625" bestFit="1" customWidth="1"/>
    <col min="4" max="8" width="15.28515625" bestFit="1" customWidth="1"/>
    <col min="9" max="14" width="15.140625" bestFit="1" customWidth="1"/>
  </cols>
  <sheetData>
    <row r="2" spans="2:14" x14ac:dyDescent="0.25">
      <c r="B2" s="33"/>
      <c r="C2" s="35">
        <v>45839</v>
      </c>
      <c r="D2" s="35">
        <v>45870</v>
      </c>
      <c r="E2" s="35">
        <v>45901</v>
      </c>
      <c r="F2" s="35">
        <v>45931</v>
      </c>
      <c r="G2" s="35">
        <v>45962</v>
      </c>
      <c r="H2" s="35">
        <v>45992</v>
      </c>
      <c r="I2" s="35">
        <v>46023</v>
      </c>
      <c r="J2" s="35">
        <v>46054</v>
      </c>
      <c r="K2" s="35">
        <v>46082</v>
      </c>
      <c r="L2" s="35">
        <v>46113</v>
      </c>
      <c r="M2" s="35">
        <v>46143</v>
      </c>
      <c r="N2" s="35">
        <v>46174</v>
      </c>
    </row>
    <row r="3" spans="2:14" x14ac:dyDescent="0.25">
      <c r="B3" s="2" t="s">
        <v>195</v>
      </c>
      <c r="C3" s="65"/>
      <c r="D3" s="65"/>
      <c r="E3" s="65"/>
      <c r="F3" s="65"/>
      <c r="G3" s="65"/>
      <c r="H3" s="65"/>
      <c r="I3" s="65"/>
      <c r="J3" s="65"/>
      <c r="K3" s="65"/>
      <c r="L3" s="65"/>
      <c r="M3" s="65"/>
      <c r="N3" s="65"/>
    </row>
    <row r="4" spans="2:14" x14ac:dyDescent="0.25">
      <c r="B4" s="2" t="s">
        <v>196</v>
      </c>
      <c r="C4" s="51"/>
      <c r="D4" s="51"/>
      <c r="E4" s="51"/>
      <c r="F4" s="51"/>
      <c r="G4" s="51"/>
      <c r="H4" s="51"/>
      <c r="I4" s="51"/>
      <c r="J4" s="51"/>
      <c r="K4" s="51"/>
      <c r="L4" s="51"/>
      <c r="M4" s="51"/>
      <c r="N4" s="51"/>
    </row>
    <row r="5" spans="2:14" x14ac:dyDescent="0.25">
      <c r="B5" s="5" t="s">
        <v>30</v>
      </c>
      <c r="C5" s="41">
        <v>7893509995</v>
      </c>
      <c r="D5" s="41">
        <v>7535421292</v>
      </c>
      <c r="E5" s="41">
        <v>7113370904.1000004</v>
      </c>
      <c r="F5" s="41">
        <v>6723301358.6500006</v>
      </c>
      <c r="G5" s="41">
        <v>6333231813.2000008</v>
      </c>
      <c r="H5" s="41">
        <v>5943162267.750001</v>
      </c>
      <c r="I5" s="41">
        <v>5553092722.3000011</v>
      </c>
      <c r="J5" s="41">
        <v>5163023176.8500013</v>
      </c>
      <c r="K5" s="41">
        <v>4772953631.4000015</v>
      </c>
      <c r="L5" s="41">
        <v>4382884085.9500017</v>
      </c>
      <c r="M5" s="41">
        <v>3992814540.5000019</v>
      </c>
      <c r="N5" s="41">
        <v>3602744995.0500016</v>
      </c>
    </row>
    <row r="6" spans="2:14" hidden="1" x14ac:dyDescent="0.25">
      <c r="B6" s="5" t="s">
        <v>175</v>
      </c>
      <c r="C6" s="41"/>
      <c r="D6" s="41"/>
      <c r="E6" s="41"/>
      <c r="F6" s="41"/>
      <c r="G6" s="41"/>
      <c r="H6" s="41"/>
      <c r="I6" s="41"/>
      <c r="J6" s="41"/>
      <c r="K6" s="41"/>
      <c r="L6" s="41"/>
      <c r="M6" s="41"/>
      <c r="N6" s="41"/>
    </row>
    <row r="7" spans="2:14" hidden="1" x14ac:dyDescent="0.25">
      <c r="B7" s="5" t="s">
        <v>176</v>
      </c>
      <c r="C7" s="41">
        <v>0</v>
      </c>
      <c r="D7" s="41"/>
      <c r="E7" s="41"/>
      <c r="F7" s="41"/>
      <c r="G7" s="41"/>
      <c r="H7" s="41"/>
      <c r="I7" s="41"/>
      <c r="J7" s="41"/>
      <c r="K7" s="41"/>
      <c r="L7" s="41"/>
      <c r="M7" s="41"/>
      <c r="N7" s="41"/>
    </row>
    <row r="8" spans="2:14" ht="14.25" thickBot="1" x14ac:dyDescent="0.3">
      <c r="B8" s="5"/>
      <c r="C8" s="68">
        <v>7893509995</v>
      </c>
      <c r="D8" s="68">
        <v>7535421292</v>
      </c>
      <c r="E8" s="68">
        <v>7113370904.1000004</v>
      </c>
      <c r="F8" s="68">
        <v>6723301358.6500006</v>
      </c>
      <c r="G8" s="68">
        <v>6333231813.2000008</v>
      </c>
      <c r="H8" s="68">
        <v>5943162267.750001</v>
      </c>
      <c r="I8" s="68">
        <v>5553092722.3000011</v>
      </c>
      <c r="J8" s="68">
        <v>5163023176.8500013</v>
      </c>
      <c r="K8" s="68">
        <v>4772953631.4000015</v>
      </c>
      <c r="L8" s="68">
        <v>4382884085.9500017</v>
      </c>
      <c r="M8" s="68">
        <v>3992814540.5000019</v>
      </c>
      <c r="N8" s="68">
        <v>3602744995.0500016</v>
      </c>
    </row>
    <row r="9" spans="2:14" x14ac:dyDescent="0.25">
      <c r="B9" s="2" t="s">
        <v>16</v>
      </c>
      <c r="C9" s="51"/>
      <c r="D9" s="51"/>
      <c r="E9" s="51"/>
      <c r="F9" s="51"/>
      <c r="G9" s="51"/>
      <c r="H9" s="51"/>
      <c r="I9" s="51"/>
      <c r="J9" s="51"/>
      <c r="K9" s="51"/>
      <c r="L9" s="51"/>
      <c r="M9" s="51"/>
      <c r="N9" s="51"/>
    </row>
    <row r="10" spans="2:14" x14ac:dyDescent="0.25">
      <c r="B10" s="5" t="s">
        <v>6</v>
      </c>
      <c r="C10" s="41">
        <v>164358619.03232875</v>
      </c>
      <c r="D10" s="41">
        <v>328717238.06465751</v>
      </c>
      <c r="E10" s="41">
        <v>493075857.09698629</v>
      </c>
      <c r="F10" s="41">
        <v>657434476.12931502</v>
      </c>
      <c r="G10" s="41">
        <v>821793095.16164374</v>
      </c>
      <c r="H10" s="41">
        <v>986151714.19397247</v>
      </c>
      <c r="I10" s="41">
        <v>1150510333.2263012</v>
      </c>
      <c r="J10" s="41">
        <v>1314868952.25863</v>
      </c>
      <c r="K10" s="41">
        <v>1479227571.2909589</v>
      </c>
      <c r="L10" s="41">
        <v>1643586190.3232877</v>
      </c>
      <c r="M10" s="41">
        <v>1807944809.3556166</v>
      </c>
      <c r="N10" s="41">
        <v>1972303428.3879454</v>
      </c>
    </row>
    <row r="11" spans="2:14" x14ac:dyDescent="0.25">
      <c r="B11" s="5" t="s">
        <v>177</v>
      </c>
      <c r="C11" s="41">
        <v>269365514.5</v>
      </c>
      <c r="D11" s="41">
        <v>538731029</v>
      </c>
      <c r="E11" s="41">
        <v>808096543.5</v>
      </c>
      <c r="F11" s="41">
        <v>1077462058</v>
      </c>
      <c r="G11" s="41">
        <v>1346827572.5</v>
      </c>
      <c r="H11" s="41">
        <v>1616193087</v>
      </c>
      <c r="I11" s="41">
        <v>1885558601.5</v>
      </c>
      <c r="J11" s="41">
        <v>2154924116</v>
      </c>
      <c r="K11" s="41">
        <v>2424289630.5</v>
      </c>
      <c r="L11" s="41">
        <v>2693655145</v>
      </c>
      <c r="M11" s="41">
        <v>2963020659.5</v>
      </c>
      <c r="N11" s="41">
        <v>3232386174</v>
      </c>
    </row>
    <row r="12" spans="2:14" hidden="1" x14ac:dyDescent="0.25">
      <c r="B12" s="5" t="s">
        <v>115</v>
      </c>
      <c r="C12" s="41"/>
      <c r="D12" s="41"/>
      <c r="E12" s="41"/>
      <c r="F12" s="41"/>
      <c r="G12" s="41"/>
      <c r="H12" s="41"/>
      <c r="I12" s="41"/>
      <c r="J12" s="41"/>
      <c r="K12" s="41"/>
      <c r="L12" s="41"/>
      <c r="M12" s="41"/>
      <c r="N12" s="41"/>
    </row>
    <row r="13" spans="2:14" hidden="1" x14ac:dyDescent="0.25">
      <c r="B13" s="5" t="s">
        <v>116</v>
      </c>
      <c r="C13" s="41"/>
      <c r="D13" s="41"/>
      <c r="E13" s="41"/>
      <c r="F13" s="41"/>
      <c r="G13" s="41"/>
      <c r="H13" s="41"/>
      <c r="I13" s="41"/>
      <c r="J13" s="41"/>
      <c r="K13" s="41"/>
      <c r="L13" s="41"/>
      <c r="M13" s="41"/>
      <c r="N13" s="41"/>
    </row>
    <row r="14" spans="2:14" x14ac:dyDescent="0.25">
      <c r="B14" s="5" t="s">
        <v>178</v>
      </c>
      <c r="C14" s="41">
        <v>781859708</v>
      </c>
      <c r="D14" s="41">
        <v>1807936614.4499998</v>
      </c>
      <c r="E14" s="41">
        <v>2773910665.4861069</v>
      </c>
      <c r="F14" s="41">
        <v>3440611183.4260826</v>
      </c>
      <c r="G14" s="41">
        <v>4107026463.3835907</v>
      </c>
      <c r="H14" s="41">
        <v>4773152193.4001579</v>
      </c>
      <c r="I14" s="41">
        <v>5438983997.7203388</v>
      </c>
      <c r="J14" s="41">
        <v>6104517435.8608475</v>
      </c>
      <c r="K14" s="41">
        <v>6769748001.6662025</v>
      </c>
      <c r="L14" s="41">
        <v>7434671122.3506927</v>
      </c>
      <c r="M14" s="41">
        <v>8099282157.5265427</v>
      </c>
      <c r="N14" s="41">
        <v>8763576398.2179909</v>
      </c>
    </row>
    <row r="15" spans="2:14" ht="14.25" thickBot="1" x14ac:dyDescent="0.3">
      <c r="B15" s="5"/>
      <c r="C15" s="68">
        <f>SUM(C10:C14)</f>
        <v>1215583841.5323286</v>
      </c>
      <c r="D15" s="68">
        <f t="shared" ref="D15:N15" si="0">SUM(D10:D14)</f>
        <v>2675384881.514657</v>
      </c>
      <c r="E15" s="68">
        <f t="shared" si="0"/>
        <v>4075083066.0830932</v>
      </c>
      <c r="F15" s="68">
        <f t="shared" si="0"/>
        <v>5175507717.555397</v>
      </c>
      <c r="G15" s="68">
        <f t="shared" si="0"/>
        <v>6275647131.0452347</v>
      </c>
      <c r="H15" s="68">
        <f t="shared" si="0"/>
        <v>7375496994.5941305</v>
      </c>
      <c r="I15" s="68">
        <f t="shared" si="0"/>
        <v>8475052932.44664</v>
      </c>
      <c r="J15" s="68">
        <f t="shared" si="0"/>
        <v>9574310504.1194763</v>
      </c>
      <c r="K15" s="68">
        <f t="shared" si="0"/>
        <v>10673265203.457161</v>
      </c>
      <c r="L15" s="68">
        <f t="shared" si="0"/>
        <v>11771912457.673981</v>
      </c>
      <c r="M15" s="68">
        <f t="shared" si="0"/>
        <v>12870247626.38216</v>
      </c>
      <c r="N15" s="68">
        <f t="shared" si="0"/>
        <v>13968266000.605936</v>
      </c>
    </row>
    <row r="16" spans="2:14" ht="14.25" thickBot="1" x14ac:dyDescent="0.3">
      <c r="B16" s="2" t="s">
        <v>197</v>
      </c>
      <c r="C16" s="69">
        <f>SUM(C8,C15)</f>
        <v>9109093836.5323296</v>
      </c>
      <c r="D16" s="69">
        <f t="shared" ref="D16:N16" si="1">SUM(D8,D15)</f>
        <v>10210806173.514656</v>
      </c>
      <c r="E16" s="69">
        <f t="shared" si="1"/>
        <v>11188453970.183094</v>
      </c>
      <c r="F16" s="69">
        <f t="shared" si="1"/>
        <v>11898809076.205399</v>
      </c>
      <c r="G16" s="69">
        <f t="shared" si="1"/>
        <v>12608878944.245235</v>
      </c>
      <c r="H16" s="69">
        <f t="shared" si="1"/>
        <v>13318659262.344131</v>
      </c>
      <c r="I16" s="69">
        <f t="shared" si="1"/>
        <v>14028145654.746641</v>
      </c>
      <c r="J16" s="69">
        <f t="shared" si="1"/>
        <v>14737333680.969479</v>
      </c>
      <c r="K16" s="69">
        <f t="shared" si="1"/>
        <v>15446218834.857162</v>
      </c>
      <c r="L16" s="69">
        <f t="shared" si="1"/>
        <v>16154796543.623981</v>
      </c>
      <c r="M16" s="69">
        <f t="shared" si="1"/>
        <v>16863062166.882162</v>
      </c>
      <c r="N16" s="69">
        <f t="shared" si="1"/>
        <v>17571010995.655937</v>
      </c>
    </row>
    <row r="17" spans="2:14" ht="14.25" thickTop="1" x14ac:dyDescent="0.25">
      <c r="B17" s="2" t="s">
        <v>198</v>
      </c>
      <c r="C17" s="51"/>
      <c r="D17" s="51"/>
      <c r="E17" s="51"/>
      <c r="F17" s="51"/>
      <c r="G17" s="51"/>
      <c r="H17" s="51"/>
      <c r="I17" s="51"/>
      <c r="J17" s="51"/>
      <c r="K17" s="51"/>
      <c r="L17" s="51"/>
      <c r="M17" s="51"/>
      <c r="N17" s="51"/>
    </row>
    <row r="18" spans="2:14" x14ac:dyDescent="0.25">
      <c r="B18" s="2" t="s">
        <v>199</v>
      </c>
      <c r="C18" s="51"/>
      <c r="D18" s="51"/>
      <c r="E18" s="51"/>
      <c r="F18" s="51"/>
      <c r="G18" s="51"/>
      <c r="H18" s="51"/>
      <c r="I18" s="51"/>
      <c r="J18" s="51"/>
      <c r="K18" s="51"/>
      <c r="L18" s="51"/>
      <c r="M18" s="51"/>
      <c r="N18" s="41"/>
    </row>
    <row r="19" spans="2:14" x14ac:dyDescent="0.25">
      <c r="B19" s="5" t="s">
        <v>43</v>
      </c>
      <c r="C19" s="41">
        <v>1299451999</v>
      </c>
      <c r="D19" s="41">
        <v>1299451999</v>
      </c>
      <c r="E19" s="41">
        <v>1299451999</v>
      </c>
      <c r="F19" s="41">
        <v>1299451999</v>
      </c>
      <c r="G19" s="41">
        <v>1299451999</v>
      </c>
      <c r="H19" s="41">
        <v>1299451999</v>
      </c>
      <c r="I19" s="41">
        <v>1299451999</v>
      </c>
      <c r="J19" s="41">
        <v>1299451999</v>
      </c>
      <c r="K19" s="41">
        <v>1299451999</v>
      </c>
      <c r="L19" s="41">
        <v>1299451999</v>
      </c>
      <c r="M19" s="41">
        <v>1299451999</v>
      </c>
      <c r="N19" s="41">
        <v>1299451999</v>
      </c>
    </row>
    <row r="20" spans="2:14" hidden="1" x14ac:dyDescent="0.25">
      <c r="B20" s="5" t="s">
        <v>114</v>
      </c>
      <c r="C20" s="41">
        <v>0</v>
      </c>
      <c r="D20" s="41"/>
      <c r="E20" s="41"/>
      <c r="F20" s="41"/>
      <c r="G20" s="41"/>
      <c r="H20" s="41"/>
      <c r="I20" s="41"/>
      <c r="J20" s="41"/>
      <c r="K20" s="41"/>
      <c r="L20" s="41"/>
      <c r="M20" s="41"/>
      <c r="N20" s="41"/>
    </row>
    <row r="21" spans="2:14" x14ac:dyDescent="0.25">
      <c r="B21" s="5" t="s">
        <v>17</v>
      </c>
      <c r="C21" s="41">
        <v>611833842.43938303</v>
      </c>
      <c r="D21" s="41">
        <v>1224166599.3174109</v>
      </c>
      <c r="E21" s="41">
        <v>1837005072.843049</v>
      </c>
      <c r="F21" s="41">
        <v>2450356158.9324336</v>
      </c>
      <c r="G21" s="41">
        <v>3064226848.5098162</v>
      </c>
      <c r="H21" s="41">
        <v>3678624228.8266711</v>
      </c>
      <c r="I21" s="41">
        <v>4293555484.7992225</v>
      </c>
      <c r="J21" s="41">
        <v>4909027900.3646488</v>
      </c>
      <c r="K21" s="41">
        <v>5525048859.856225</v>
      </c>
      <c r="L21" s="41">
        <v>6141625849.3976717</v>
      </c>
      <c r="M21" s="41">
        <v>6758766458.3169756</v>
      </c>
      <c r="N21" s="41">
        <v>7376478380.5799608</v>
      </c>
    </row>
    <row r="22" spans="2:14" ht="14.25" thickBot="1" x14ac:dyDescent="0.3">
      <c r="B22" s="5"/>
      <c r="C22" s="68">
        <f>SUM(C19:C21)</f>
        <v>1911285841.439383</v>
      </c>
      <c r="D22" s="68">
        <f t="shared" ref="D22:N22" si="2">SUM(D19:D21)</f>
        <v>2523618598.3174109</v>
      </c>
      <c r="E22" s="68">
        <f t="shared" si="2"/>
        <v>3136457071.843049</v>
      </c>
      <c r="F22" s="68">
        <f t="shared" si="2"/>
        <v>3749808157.9324336</v>
      </c>
      <c r="G22" s="68">
        <f t="shared" si="2"/>
        <v>4363678847.5098162</v>
      </c>
      <c r="H22" s="68">
        <f t="shared" si="2"/>
        <v>4978076227.8266716</v>
      </c>
      <c r="I22" s="68">
        <f t="shared" si="2"/>
        <v>5593007483.7992229</v>
      </c>
      <c r="J22" s="68">
        <f t="shared" si="2"/>
        <v>6208479899.3646488</v>
      </c>
      <c r="K22" s="68">
        <f t="shared" si="2"/>
        <v>6824500858.856225</v>
      </c>
      <c r="L22" s="68">
        <f t="shared" si="2"/>
        <v>7441077848.3976717</v>
      </c>
      <c r="M22" s="68">
        <f t="shared" si="2"/>
        <v>8058218457.3169756</v>
      </c>
      <c r="N22" s="68">
        <f t="shared" si="2"/>
        <v>8675930379.5799599</v>
      </c>
    </row>
    <row r="23" spans="2:14" x14ac:dyDescent="0.25">
      <c r="B23" s="2" t="s">
        <v>200</v>
      </c>
      <c r="C23" s="51"/>
      <c r="D23" s="51"/>
      <c r="E23" s="51"/>
      <c r="F23" s="51"/>
      <c r="G23" s="51"/>
      <c r="H23" s="51"/>
      <c r="I23" s="51"/>
      <c r="J23" s="51"/>
      <c r="K23" s="51"/>
      <c r="L23" s="51"/>
      <c r="M23" s="51"/>
      <c r="N23" s="51"/>
    </row>
    <row r="24" spans="2:14" x14ac:dyDescent="0.25">
      <c r="B24" s="5" t="s">
        <v>179</v>
      </c>
      <c r="C24" s="70">
        <v>7197807996</v>
      </c>
      <c r="D24" s="70">
        <v>7142264692.233079</v>
      </c>
      <c r="E24" s="70">
        <v>7085934524.9961262</v>
      </c>
      <c r="F24" s="70">
        <v>7028806347.0566502</v>
      </c>
      <c r="G24" s="70">
        <v>6970868853.263031</v>
      </c>
      <c r="H24" s="70">
        <v>6912110578.3073368</v>
      </c>
      <c r="I24" s="70">
        <v>6852519894.4564362</v>
      </c>
      <c r="J24" s="70">
        <v>6792085009.2509804</v>
      </c>
      <c r="K24" s="70">
        <v>6730793963.1717825</v>
      </c>
      <c r="L24" s="70">
        <v>6668634627.2731285</v>
      </c>
      <c r="M24" s="70">
        <v>6605594700.7825756</v>
      </c>
      <c r="N24" s="70">
        <v>6541661708.6667414</v>
      </c>
    </row>
    <row r="25" spans="2:14" hidden="1" x14ac:dyDescent="0.25">
      <c r="B25" s="5" t="s">
        <v>180</v>
      </c>
      <c r="C25" s="70">
        <v>0</v>
      </c>
      <c r="D25" s="70"/>
      <c r="E25" s="70"/>
      <c r="F25" s="70"/>
      <c r="G25" s="70"/>
      <c r="H25" s="70"/>
      <c r="I25" s="70"/>
      <c r="J25" s="70"/>
      <c r="K25" s="70"/>
      <c r="L25" s="70"/>
      <c r="M25" s="70"/>
      <c r="N25" s="70"/>
    </row>
    <row r="26" spans="2:14" hidden="1" x14ac:dyDescent="0.25">
      <c r="B26" s="5" t="s">
        <v>181</v>
      </c>
      <c r="C26" s="70">
        <v>0</v>
      </c>
      <c r="D26" s="70"/>
      <c r="E26" s="70"/>
      <c r="F26" s="70"/>
      <c r="G26" s="70"/>
      <c r="H26" s="70"/>
      <c r="I26" s="70"/>
      <c r="J26" s="70"/>
      <c r="K26" s="70"/>
      <c r="L26" s="70"/>
      <c r="M26" s="70"/>
      <c r="N26" s="70"/>
    </row>
    <row r="27" spans="2:14" hidden="1" x14ac:dyDescent="0.25">
      <c r="B27" s="5" t="s">
        <v>182</v>
      </c>
      <c r="C27" s="70">
        <v>0</v>
      </c>
      <c r="D27" s="70"/>
      <c r="E27" s="70"/>
      <c r="F27" s="70"/>
      <c r="G27" s="70"/>
      <c r="H27" s="70"/>
      <c r="I27" s="70"/>
      <c r="J27" s="70"/>
      <c r="K27" s="70"/>
      <c r="L27" s="70"/>
      <c r="M27" s="70"/>
      <c r="N27" s="70"/>
    </row>
    <row r="28" spans="2:14" ht="14.25" thickBot="1" x14ac:dyDescent="0.3">
      <c r="B28" s="5"/>
      <c r="C28" s="72">
        <v>7197807996</v>
      </c>
      <c r="D28" s="72">
        <v>7142264692.233079</v>
      </c>
      <c r="E28" s="72">
        <v>7085934524.9961262</v>
      </c>
      <c r="F28" s="72">
        <v>7028806347.0566502</v>
      </c>
      <c r="G28" s="72">
        <v>6970868853.263031</v>
      </c>
      <c r="H28" s="72">
        <v>6912110578.3073368</v>
      </c>
      <c r="I28" s="72">
        <v>6852519894.4564362</v>
      </c>
      <c r="J28" s="72">
        <v>6792085009.2509804</v>
      </c>
      <c r="K28" s="72">
        <v>6730793963.1717825</v>
      </c>
      <c r="L28" s="72">
        <v>6668634627.2731285</v>
      </c>
      <c r="M28" s="72">
        <v>6605594700.7825756</v>
      </c>
      <c r="N28" s="72">
        <v>6541661708.6667414</v>
      </c>
    </row>
    <row r="29" spans="2:14" x14ac:dyDescent="0.25">
      <c r="B29" s="2" t="s">
        <v>18</v>
      </c>
      <c r="C29" s="51"/>
      <c r="D29" s="51"/>
      <c r="E29" s="51"/>
      <c r="F29" s="51"/>
      <c r="G29" s="51"/>
      <c r="H29" s="51"/>
      <c r="I29" s="51"/>
      <c r="J29" s="51"/>
      <c r="K29" s="51"/>
      <c r="L29" s="51"/>
      <c r="M29" s="51"/>
      <c r="N29" s="51"/>
    </row>
    <row r="30" spans="2:14" hidden="1" x14ac:dyDescent="0.25">
      <c r="B30" s="5" t="s">
        <v>183</v>
      </c>
      <c r="C30" s="41"/>
      <c r="D30" s="41"/>
      <c r="E30" s="41"/>
      <c r="F30" s="41"/>
      <c r="G30" s="41"/>
      <c r="H30" s="41"/>
      <c r="I30" s="41"/>
      <c r="J30" s="41"/>
      <c r="K30" s="41"/>
      <c r="L30" s="41"/>
      <c r="M30" s="41"/>
      <c r="N30" s="41"/>
    </row>
    <row r="31" spans="2:14" x14ac:dyDescent="0.25">
      <c r="B31" s="5" t="s">
        <v>184</v>
      </c>
      <c r="C31" s="41">
        <v>0</v>
      </c>
      <c r="D31" s="41"/>
      <c r="E31" s="41">
        <v>400517552.74799997</v>
      </c>
      <c r="F31" s="41">
        <v>534023403.66399997</v>
      </c>
      <c r="G31" s="41">
        <v>667529254.57999992</v>
      </c>
      <c r="H31" s="41">
        <v>801035105.49599993</v>
      </c>
      <c r="I31" s="41">
        <v>934540956.41199994</v>
      </c>
      <c r="J31" s="41">
        <v>1068046807.3279999</v>
      </c>
      <c r="K31" s="41">
        <v>1201552658.244</v>
      </c>
      <c r="L31" s="41">
        <v>1335058509.1599998</v>
      </c>
      <c r="M31" s="41">
        <v>1468564360.0759997</v>
      </c>
      <c r="N31" s="41">
        <v>1602070210.9919996</v>
      </c>
    </row>
    <row r="32" spans="2:14" x14ac:dyDescent="0.25">
      <c r="B32" s="5" t="s">
        <v>147</v>
      </c>
      <c r="C32" s="41">
        <v>0</v>
      </c>
      <c r="D32" s="41">
        <v>38040374.5</v>
      </c>
      <c r="E32" s="41">
        <v>57060561.75</v>
      </c>
      <c r="F32" s="41">
        <v>76080749</v>
      </c>
      <c r="G32" s="41">
        <v>95100936.25</v>
      </c>
      <c r="H32" s="41">
        <v>114121123.5</v>
      </c>
      <c r="I32" s="41">
        <v>133141310.75</v>
      </c>
      <c r="J32" s="41">
        <v>152161498</v>
      </c>
      <c r="K32" s="41">
        <v>171181685.25</v>
      </c>
      <c r="L32" s="41">
        <v>190201872.5</v>
      </c>
      <c r="M32" s="41">
        <v>209222059.75</v>
      </c>
      <c r="N32" s="41">
        <v>228242247</v>
      </c>
    </row>
    <row r="33" spans="2:14" x14ac:dyDescent="0.25">
      <c r="B33" s="5" t="s">
        <v>185</v>
      </c>
      <c r="C33" s="41">
        <v>0</v>
      </c>
      <c r="D33" s="41">
        <v>2618912.8319999999</v>
      </c>
      <c r="E33" s="41">
        <v>3928369.2479999997</v>
      </c>
      <c r="F33" s="41">
        <v>5237825.6639999999</v>
      </c>
      <c r="G33" s="41">
        <v>6547282.0800000001</v>
      </c>
      <c r="H33" s="41">
        <v>7856738.4960000003</v>
      </c>
      <c r="I33" s="41">
        <v>9166194.9120000005</v>
      </c>
      <c r="J33" s="41">
        <v>10475651.328</v>
      </c>
      <c r="K33" s="41">
        <v>11785107.743999999</v>
      </c>
      <c r="L33" s="41">
        <v>13094564.159999998</v>
      </c>
      <c r="M33" s="41">
        <v>14404020.575999998</v>
      </c>
      <c r="N33" s="41">
        <v>15713476.991999997</v>
      </c>
    </row>
    <row r="34" spans="2:14" hidden="1" x14ac:dyDescent="0.25">
      <c r="B34" s="5" t="s">
        <v>117</v>
      </c>
      <c r="C34" s="41">
        <v>0</v>
      </c>
      <c r="D34" s="41"/>
      <c r="E34" s="41"/>
      <c r="F34" s="41"/>
      <c r="G34" s="41"/>
      <c r="H34" s="41"/>
      <c r="I34" s="41"/>
      <c r="J34" s="41"/>
      <c r="K34" s="41"/>
      <c r="L34" s="41"/>
      <c r="M34" s="41"/>
      <c r="N34" s="41"/>
    </row>
    <row r="35" spans="2:14" x14ac:dyDescent="0.25">
      <c r="B35" s="5" t="s">
        <v>187</v>
      </c>
      <c r="C35" s="41">
        <v>0</v>
      </c>
      <c r="D35" s="41">
        <v>341491596.87922394</v>
      </c>
      <c r="E35" s="41">
        <v>341649459.92654473</v>
      </c>
      <c r="F35" s="41">
        <v>341809899.11771679</v>
      </c>
      <c r="G35" s="41">
        <v>341972954.34561831</v>
      </c>
      <c r="H35" s="41">
        <v>342138666.10225147</v>
      </c>
      <c r="I35" s="41">
        <v>342307075.48756993</v>
      </c>
      <c r="J35" s="41">
        <v>342478224.21843481</v>
      </c>
      <c r="K35" s="41">
        <v>342652154.63770044</v>
      </c>
      <c r="L35" s="41">
        <v>342828909.72343308</v>
      </c>
      <c r="M35" s="41">
        <v>343008533.09826291</v>
      </c>
      <c r="N35" s="41">
        <v>343191069.03887266</v>
      </c>
    </row>
    <row r="36" spans="2:14" x14ac:dyDescent="0.25">
      <c r="B36" s="5" t="s">
        <v>221</v>
      </c>
      <c r="C36" s="41">
        <v>0</v>
      </c>
      <c r="D36" s="41">
        <v>162771998.66377959</v>
      </c>
      <c r="E36" s="41">
        <v>162906429.67137215</v>
      </c>
      <c r="F36" s="41">
        <v>163042693.77059591</v>
      </c>
      <c r="G36" s="41">
        <v>163180816.21677262</v>
      </c>
      <c r="H36" s="41">
        <v>163320822.61587283</v>
      </c>
      <c r="I36" s="41">
        <v>163462738.92941239</v>
      </c>
      <c r="J36" s="41">
        <v>163606591.47941706</v>
      </c>
      <c r="K36" s="41">
        <v>163752406.95345688</v>
      </c>
      <c r="L36" s="41">
        <v>163900212.40975153</v>
      </c>
      <c r="M36" s="41">
        <v>164050035.28234661</v>
      </c>
      <c r="N36" s="41">
        <v>164201903.38636312</v>
      </c>
    </row>
    <row r="37" spans="2:14" hidden="1" x14ac:dyDescent="0.25">
      <c r="B37" s="5" t="s">
        <v>118</v>
      </c>
      <c r="C37" s="41">
        <v>0</v>
      </c>
      <c r="D37" s="41"/>
      <c r="E37" s="41"/>
      <c r="F37" s="41"/>
      <c r="G37" s="41"/>
      <c r="H37" s="41"/>
      <c r="I37" s="41"/>
      <c r="J37" s="41"/>
      <c r="K37" s="41"/>
      <c r="L37" s="41"/>
      <c r="M37" s="41"/>
      <c r="N37" s="41"/>
    </row>
    <row r="38" spans="2:14" ht="14.25" thickBot="1" x14ac:dyDescent="0.3">
      <c r="B38" s="5"/>
      <c r="C38" s="68">
        <f>SUM(C31:C36)</f>
        <v>0</v>
      </c>
      <c r="D38" s="68">
        <f t="shared" ref="D38:N38" si="3">SUM(D31:D36)</f>
        <v>544922882.87500358</v>
      </c>
      <c r="E38" s="68">
        <f t="shared" si="3"/>
        <v>966062373.34391689</v>
      </c>
      <c r="F38" s="68">
        <f t="shared" si="3"/>
        <v>1120194571.2163129</v>
      </c>
      <c r="G38" s="68">
        <f t="shared" si="3"/>
        <v>1274331243.4723909</v>
      </c>
      <c r="H38" s="68">
        <f t="shared" si="3"/>
        <v>1428472456.2101243</v>
      </c>
      <c r="I38" s="68">
        <f t="shared" si="3"/>
        <v>1582618276.4909821</v>
      </c>
      <c r="J38" s="68">
        <f t="shared" si="3"/>
        <v>1736768772.353852</v>
      </c>
      <c r="K38" s="68">
        <f t="shared" si="3"/>
        <v>1890924012.8291574</v>
      </c>
      <c r="L38" s="68">
        <f t="shared" si="3"/>
        <v>2045084067.9531846</v>
      </c>
      <c r="M38" s="68">
        <f t="shared" si="3"/>
        <v>2199249008.7826095</v>
      </c>
      <c r="N38" s="68">
        <f t="shared" si="3"/>
        <v>2353418907.4092355</v>
      </c>
    </row>
    <row r="39" spans="2:14" ht="14.25" thickBot="1" x14ac:dyDescent="0.3">
      <c r="B39" s="2" t="s">
        <v>201</v>
      </c>
      <c r="C39" s="69">
        <f>C22+C28+C38</f>
        <v>9109093837.4393826</v>
      </c>
      <c r="D39" s="69">
        <f t="shared" ref="D39:N39" si="4">D22+D28+D38</f>
        <v>10210806173.425493</v>
      </c>
      <c r="E39" s="69">
        <f t="shared" si="4"/>
        <v>11188453970.183094</v>
      </c>
      <c r="F39" s="69">
        <f t="shared" si="4"/>
        <v>11898809076.205397</v>
      </c>
      <c r="G39" s="69">
        <f t="shared" si="4"/>
        <v>12608878944.245237</v>
      </c>
      <c r="H39" s="69">
        <f t="shared" si="4"/>
        <v>13318659262.344133</v>
      </c>
      <c r="I39" s="69">
        <f t="shared" si="4"/>
        <v>14028145654.746641</v>
      </c>
      <c r="J39" s="69">
        <f t="shared" si="4"/>
        <v>14737333680.969481</v>
      </c>
      <c r="K39" s="69">
        <f t="shared" si="4"/>
        <v>15446218834.857164</v>
      </c>
      <c r="L39" s="69">
        <f t="shared" si="4"/>
        <v>16154796543.623983</v>
      </c>
      <c r="M39" s="69">
        <f t="shared" si="4"/>
        <v>16863062166.882162</v>
      </c>
      <c r="N39" s="69">
        <f t="shared" si="4"/>
        <v>17571010995.655937</v>
      </c>
    </row>
    <row r="40" spans="2:14" ht="14.2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Instructions</vt:lpstr>
      <vt:lpstr>Production</vt:lpstr>
      <vt:lpstr>Assumptions</vt:lpstr>
      <vt:lpstr>IncState</vt:lpstr>
      <vt:lpstr>CashFlow</vt:lpstr>
      <vt:lpstr>BalanceSheet</vt:lpstr>
      <vt:lpstr>Loans1</vt:lpstr>
      <vt:lpstr>P&amp;L Monthly</vt:lpstr>
      <vt:lpstr>BS Monthly</vt:lpstr>
      <vt:lpstr>CF Monthly</vt:lpstr>
      <vt:lpstr>P&amp;L Graph</vt:lpstr>
      <vt:lpstr>Net Profit Graph</vt:lpstr>
      <vt:lpstr>Loans2</vt:lpstr>
      <vt:lpstr>Loans3</vt:lpstr>
      <vt:lpstr>Leases</vt:lpstr>
      <vt:lpstr>CashFlow</vt:lpstr>
      <vt:lpstr>InterestRate</vt:lpstr>
      <vt:lpstr>LoanAmount</vt:lpstr>
      <vt:lpstr>LoanStartDate</vt:lpstr>
      <vt:lpstr>LoanYears</vt:lpstr>
      <vt:lpstr>BalanceSheet!Print_Area</vt:lpstr>
      <vt:lpstr>CashFlow!Print_Area</vt:lpstr>
      <vt:lpstr>IncState!Print_Area</vt:lpstr>
      <vt:lpstr>Instructions!Print_Area</vt:lpstr>
      <vt:lpstr>Assumptions!Print_Titles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Forecast Template - Excel Skills</dc:title>
  <dc:subject>Cash Flow Forecast</dc:subject>
  <dc:creator>Excel Skills International</dc:creator>
  <cp:keywords>cash flow template, annual</cp:keywords>
  <cp:lastModifiedBy>Musa Steven</cp:lastModifiedBy>
  <cp:lastPrinted>2024-02-09T10:54:53Z</cp:lastPrinted>
  <dcterms:created xsi:type="dcterms:W3CDTF">2009-07-26T08:36:26Z</dcterms:created>
  <dcterms:modified xsi:type="dcterms:W3CDTF">2024-11-15T09:52:46Z</dcterms:modified>
  <cp:category>Excel 2007+</cp:category>
  <cp:contentStatus>Version 4.0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fa6405f1-c782-4b7f-9d11-5f0689b5f8a3</vt:lpwstr>
  </property>
</Properties>
</file>