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00103e2093d447d5" Type="http://schemas.microsoft.com/office/2007/relationships/ui/extensibility" Target="NULL"/><Relationship Id="Rfcb271c8556241c7" Type="http://schemas.microsoft.com/office/2006/relationships/ui/extensibility" Target="NUL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C:\Users\Administrator\Desktop\LOCAL DISK D\Accounting Templates\Accounting Templates\Cash Flow\Full\"/>
    </mc:Choice>
  </mc:AlternateContent>
  <xr:revisionPtr revIDLastSave="0" documentId="13_ncr:1_{2E89DB75-26C6-4F7B-962E-2726A8AF5235}" xr6:coauthVersionLast="47" xr6:coauthVersionMax="47" xr10:uidLastSave="{00000000-0000-0000-0000-000000000000}"/>
  <bookViews>
    <workbookView xWindow="-120" yWindow="-120" windowWidth="20730" windowHeight="11040" tabRatio="795" activeTab="3" xr2:uid="{00000000-000D-0000-FFFF-FFFF00000000}"/>
  </bookViews>
  <sheets>
    <sheet name="Info" sheetId="10" r:id="rId1"/>
    <sheet name="Trial" sheetId="9" r:id="rId2"/>
    <sheet name="Instructions" sheetId="4" r:id="rId3"/>
    <sheet name="Assumptions" sheetId="2" r:id="rId4"/>
    <sheet name="IncState" sheetId="1" r:id="rId5"/>
    <sheet name="CashFlow" sheetId="11" r:id="rId6"/>
    <sheet name="BalanceSheet" sheetId="6" r:id="rId7"/>
    <sheet name="Loans1" sheetId="7" r:id="rId8"/>
    <sheet name="Loans2" sheetId="12" r:id="rId9"/>
    <sheet name="Loans3" sheetId="13" r:id="rId10"/>
    <sheet name="Leases" sheetId="14" r:id="rId11"/>
  </sheets>
  <definedNames>
    <definedName name="_xlnm.Print_Area" localSheetId="3">Assumptions!$B$1:$H$100</definedName>
    <definedName name="_xlnm.Print_Area" localSheetId="6">BalanceSheet!$B$1:$T$51</definedName>
    <definedName name="_xlnm.Print_Area" localSheetId="5">CashFlow!$B$1:$S$46</definedName>
    <definedName name="_xlnm.Print_Area" localSheetId="4">IncState!$B$1:$S$67</definedName>
    <definedName name="_xlnm.Print_Area" localSheetId="2">Instructions!$A$1:$A$383</definedName>
    <definedName name="_xlnm.Print_Titles" localSheetId="3">Assumptions!$1:$3</definedName>
    <definedName name="_xlnm.Print_Titles" localSheetId="6">BalanceSheet!$B:$B,BalanceSheet!$1:$4</definedName>
    <definedName name="_xlnm.Print_Titles" localSheetId="5">CashFlow!$B:$B,CashFlow!$1:$4</definedName>
    <definedName name="_xlnm.Print_Titles" localSheetId="4">IncState!$B:$B,IncState!$1:$4</definedName>
    <definedName name="_xlnm.Print_Titles" localSheetId="2">Instructions!$1:$4</definedName>
    <definedName name="_xlnm.Print_Titles" localSheetId="10">Leases!$1:$8</definedName>
    <definedName name="_xlnm.Print_Titles" localSheetId="7">Loans1!$1:$8</definedName>
    <definedName name="_xlnm.Print_Titles" localSheetId="8">Loans2!$1:$8</definedName>
    <definedName name="_xlnm.Print_Titles" localSheetId="9">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9" i="11" l="1"/>
  <c r="Q29" i="11"/>
  <c r="R29" i="11"/>
  <c r="S29" i="11"/>
  <c r="P30" i="11"/>
  <c r="Q30" i="11"/>
  <c r="R30" i="11"/>
  <c r="S30" i="11"/>
  <c r="Q28" i="11"/>
  <c r="R28" i="11"/>
  <c r="S28" i="11"/>
  <c r="P28" i="11"/>
  <c r="O22" i="11"/>
  <c r="O33" i="11"/>
  <c r="O29" i="11"/>
  <c r="O30" i="11"/>
  <c r="O28" i="11"/>
  <c r="O21" i="11"/>
  <c r="A1" i="14" l="1"/>
  <c r="A1" i="13"/>
  <c r="A1" i="12"/>
  <c r="A1" i="7"/>
  <c r="B1" i="6"/>
  <c r="B1" i="11"/>
  <c r="B1" i="1"/>
  <c r="B1" i="2"/>
  <c r="T74" i="6" l="1"/>
  <c r="S74" i="6"/>
  <c r="R74" i="6"/>
  <c r="Q74" i="6"/>
  <c r="P74" i="6"/>
  <c r="O74" i="6"/>
  <c r="N74" i="6"/>
  <c r="M74" i="6"/>
  <c r="L74" i="6"/>
  <c r="K74" i="6"/>
  <c r="J74" i="6"/>
  <c r="I74" i="6"/>
  <c r="H74" i="6"/>
  <c r="G74" i="6"/>
  <c r="F74" i="6"/>
  <c r="E74" i="6"/>
  <c r="D74" i="6"/>
  <c r="C38" i="6"/>
  <c r="C79" i="6" s="1"/>
  <c r="D103" i="2"/>
  <c r="D104" i="2" s="1"/>
  <c r="O17" i="1"/>
  <c r="P17" i="1" s="1"/>
  <c r="Q17" i="1" s="1"/>
  <c r="R17" i="1" s="1"/>
  <c r="S17" i="1" s="1"/>
  <c r="S37" i="11" l="1"/>
  <c r="R37" i="11"/>
  <c r="S17" i="11" l="1"/>
  <c r="R17" i="11"/>
  <c r="Q17" i="11"/>
  <c r="P17" i="11"/>
  <c r="S16" i="11"/>
  <c r="R16" i="11"/>
  <c r="Q16" i="11"/>
  <c r="P16" i="11"/>
  <c r="S12" i="11"/>
  <c r="R12" i="11"/>
  <c r="Q12" i="11"/>
  <c r="P12" i="11"/>
  <c r="Q57" i="6" l="1"/>
  <c r="P57" i="6"/>
  <c r="P69" i="6"/>
  <c r="T72" i="6"/>
  <c r="S72" i="6"/>
  <c r="R72" i="6"/>
  <c r="Q72" i="6"/>
  <c r="T69" i="6"/>
  <c r="S69" i="6"/>
  <c r="R69" i="6"/>
  <c r="Q69" i="6"/>
  <c r="Q53" i="6"/>
  <c r="O69" i="6" l="1"/>
  <c r="N69" i="6"/>
  <c r="M69" i="6"/>
  <c r="L69" i="6"/>
  <c r="K69" i="6"/>
  <c r="J69" i="6"/>
  <c r="I69" i="6"/>
  <c r="H69" i="6"/>
  <c r="G69" i="6"/>
  <c r="F69" i="6"/>
  <c r="E69" i="6"/>
  <c r="D69" i="6"/>
  <c r="T57" i="6"/>
  <c r="S57" i="6"/>
  <c r="R57" i="6"/>
  <c r="O57" i="6"/>
  <c r="N57" i="6"/>
  <c r="M57" i="6"/>
  <c r="L57" i="6"/>
  <c r="K57" i="6"/>
  <c r="J57" i="6"/>
  <c r="I57" i="6"/>
  <c r="H57" i="6"/>
  <c r="G57" i="6"/>
  <c r="F57" i="6"/>
  <c r="E57" i="6"/>
  <c r="D57" i="6"/>
  <c r="C57" i="6"/>
  <c r="T55" i="6"/>
  <c r="S55" i="6"/>
  <c r="R55" i="6"/>
  <c r="Q55" i="6"/>
  <c r="P55" i="6"/>
  <c r="O55" i="6"/>
  <c r="N55" i="6"/>
  <c r="M55" i="6"/>
  <c r="L55" i="6"/>
  <c r="K55" i="6"/>
  <c r="J55" i="6"/>
  <c r="I55" i="6"/>
  <c r="H55" i="6"/>
  <c r="G55" i="6"/>
  <c r="F55" i="6"/>
  <c r="E55" i="6"/>
  <c r="D55" i="6"/>
  <c r="C55" i="6"/>
  <c r="T53" i="6"/>
  <c r="S53" i="6"/>
  <c r="R53" i="6"/>
  <c r="P53" i="6"/>
  <c r="O53" i="6"/>
  <c r="N53" i="6"/>
  <c r="M53" i="6"/>
  <c r="L53" i="6"/>
  <c r="K53" i="6"/>
  <c r="J53" i="6"/>
  <c r="I53" i="6"/>
  <c r="H53" i="6"/>
  <c r="G53" i="6"/>
  <c r="F53" i="6"/>
  <c r="E53" i="6"/>
  <c r="D53" i="6"/>
  <c r="C53" i="6"/>
  <c r="S38" i="11"/>
  <c r="R38" i="11"/>
  <c r="Q38" i="11"/>
  <c r="P38" i="11"/>
  <c r="Q37" i="11"/>
  <c r="P37" i="11"/>
  <c r="S36" i="11"/>
  <c r="R36" i="11"/>
  <c r="Q36" i="11"/>
  <c r="P36" i="11"/>
  <c r="S35" i="11"/>
  <c r="R35" i="11"/>
  <c r="Q35" i="11"/>
  <c r="P35" i="11"/>
  <c r="N38" i="11"/>
  <c r="M38" i="11"/>
  <c r="L38" i="11"/>
  <c r="K38" i="11"/>
  <c r="J38" i="11"/>
  <c r="I38" i="11"/>
  <c r="H38" i="11"/>
  <c r="G38" i="11"/>
  <c r="F38" i="11"/>
  <c r="E38" i="11"/>
  <c r="D38" i="11"/>
  <c r="C38" i="11"/>
  <c r="N37" i="11"/>
  <c r="M37" i="11"/>
  <c r="L37" i="11"/>
  <c r="K37" i="11"/>
  <c r="J37" i="11"/>
  <c r="I37" i="11"/>
  <c r="H37" i="11"/>
  <c r="G37" i="11"/>
  <c r="F37" i="11"/>
  <c r="E37" i="11"/>
  <c r="D37" i="11"/>
  <c r="C37" i="11"/>
  <c r="N36" i="11"/>
  <c r="M36" i="11"/>
  <c r="L36" i="11"/>
  <c r="K36" i="11"/>
  <c r="J36" i="11"/>
  <c r="I36" i="11"/>
  <c r="H36" i="11"/>
  <c r="G36" i="11"/>
  <c r="F36" i="11"/>
  <c r="E36" i="11"/>
  <c r="D36" i="11"/>
  <c r="C36" i="11"/>
  <c r="N35" i="11"/>
  <c r="M35" i="11"/>
  <c r="L35" i="11"/>
  <c r="K35" i="11"/>
  <c r="J35" i="11"/>
  <c r="I35" i="11"/>
  <c r="H35" i="11"/>
  <c r="G35" i="11"/>
  <c r="F35" i="11"/>
  <c r="E35" i="11"/>
  <c r="D35" i="11"/>
  <c r="C35" i="11"/>
  <c r="S31" i="11"/>
  <c r="R31" i="11"/>
  <c r="Q31" i="11"/>
  <c r="P31" i="11"/>
  <c r="N31" i="11"/>
  <c r="M31" i="11"/>
  <c r="L31" i="11"/>
  <c r="K31" i="11"/>
  <c r="J31" i="11"/>
  <c r="I31" i="11"/>
  <c r="H31" i="11"/>
  <c r="G31" i="11"/>
  <c r="F31" i="11"/>
  <c r="E31" i="11"/>
  <c r="D31" i="11"/>
  <c r="O17" i="11"/>
  <c r="O16" i="11"/>
  <c r="O12" i="11"/>
  <c r="C31" i="11"/>
  <c r="D63" i="2"/>
  <c r="D69" i="2"/>
  <c r="B6" i="14"/>
  <c r="B5" i="14"/>
  <c r="B4" i="14"/>
  <c r="B6" i="13"/>
  <c r="B5" i="13"/>
  <c r="B4" i="13"/>
  <c r="C9" i="14"/>
  <c r="C9" i="13"/>
  <c r="C9" i="12"/>
  <c r="C9" i="7"/>
  <c r="B6" i="12"/>
  <c r="B5" i="12"/>
  <c r="B4" i="12"/>
  <c r="B6" i="7"/>
  <c r="A9" i="14"/>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9" i="13"/>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9" i="12"/>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S48" i="1"/>
  <c r="S11" i="11" s="1"/>
  <c r="R48" i="1"/>
  <c r="R11" i="11" s="1"/>
  <c r="Q48" i="1"/>
  <c r="P48" i="1"/>
  <c r="H25" i="2"/>
  <c r="N45" i="1"/>
  <c r="M45" i="1"/>
  <c r="L45" i="1"/>
  <c r="K45" i="1"/>
  <c r="J45" i="1"/>
  <c r="I45" i="1"/>
  <c r="H45" i="1"/>
  <c r="G45" i="1"/>
  <c r="F45" i="1"/>
  <c r="E45" i="1"/>
  <c r="D45" i="1"/>
  <c r="C45" i="1"/>
  <c r="O48" i="1"/>
  <c r="N49" i="1"/>
  <c r="M49" i="1"/>
  <c r="L49" i="1"/>
  <c r="K49" i="1"/>
  <c r="J49" i="1"/>
  <c r="I49" i="1"/>
  <c r="H49" i="1"/>
  <c r="G49" i="1"/>
  <c r="F49" i="1"/>
  <c r="E49" i="1"/>
  <c r="D49" i="1"/>
  <c r="C49" i="1"/>
  <c r="O44" i="1"/>
  <c r="P44" i="1" s="1"/>
  <c r="Q44" i="1" s="1"/>
  <c r="R44" i="1" s="1"/>
  <c r="S44" i="1" s="1"/>
  <c r="O43" i="1"/>
  <c r="P43" i="1" s="1"/>
  <c r="N41" i="1"/>
  <c r="M41" i="1"/>
  <c r="L41" i="1"/>
  <c r="K41" i="1"/>
  <c r="J41" i="1"/>
  <c r="I41" i="1"/>
  <c r="H41" i="1"/>
  <c r="G41" i="1"/>
  <c r="F41" i="1"/>
  <c r="E41" i="1"/>
  <c r="D41" i="1"/>
  <c r="C41" i="1"/>
  <c r="N12" i="1"/>
  <c r="N9" i="1" s="1"/>
  <c r="M12" i="1"/>
  <c r="M9" i="1" s="1"/>
  <c r="L12" i="1"/>
  <c r="L9" i="1" s="1"/>
  <c r="K12" i="1"/>
  <c r="K9" i="1" s="1"/>
  <c r="J12" i="1"/>
  <c r="J9" i="1" s="1"/>
  <c r="I12" i="1"/>
  <c r="I9" i="1" s="1"/>
  <c r="H12" i="1"/>
  <c r="H9" i="1" s="1"/>
  <c r="G12" i="1"/>
  <c r="G9" i="1" s="1"/>
  <c r="F12" i="1"/>
  <c r="F9" i="1" s="1"/>
  <c r="E12" i="1"/>
  <c r="E9" i="1" s="1"/>
  <c r="D12" i="1"/>
  <c r="D9" i="1" s="1"/>
  <c r="C12" i="1"/>
  <c r="C9" i="1" s="1"/>
  <c r="N11" i="1"/>
  <c r="N13" i="1" s="1"/>
  <c r="M11" i="1"/>
  <c r="M8" i="1" s="1"/>
  <c r="M10" i="1" s="1"/>
  <c r="N54" i="6" s="1"/>
  <c r="L11" i="1"/>
  <c r="L8" i="1" s="1"/>
  <c r="K11" i="1"/>
  <c r="K8" i="1" s="1"/>
  <c r="J11" i="1"/>
  <c r="I11" i="1"/>
  <c r="I8" i="1" s="1"/>
  <c r="H11" i="1"/>
  <c r="H8" i="1" s="1"/>
  <c r="H10" i="1" s="1"/>
  <c r="I54" i="6" s="1"/>
  <c r="G11" i="1"/>
  <c r="G13" i="1" s="1"/>
  <c r="F11" i="1"/>
  <c r="F13" i="1" s="1"/>
  <c r="E11" i="1"/>
  <c r="E8" i="1" s="1"/>
  <c r="E10" i="1" s="1"/>
  <c r="F54" i="6" s="1"/>
  <c r="D11" i="1"/>
  <c r="D8" i="1" s="1"/>
  <c r="C11" i="1"/>
  <c r="N7" i="1"/>
  <c r="M7" i="1"/>
  <c r="L7" i="1"/>
  <c r="K7" i="1"/>
  <c r="J7" i="1"/>
  <c r="I7" i="1"/>
  <c r="H7" i="1"/>
  <c r="G7" i="1"/>
  <c r="F7" i="1"/>
  <c r="E7" i="1"/>
  <c r="D7" i="1"/>
  <c r="C7" i="1"/>
  <c r="O6" i="1"/>
  <c r="P6" i="1" s="1"/>
  <c r="Q6" i="1" s="1"/>
  <c r="R6" i="1" s="1"/>
  <c r="S6" i="1" s="1"/>
  <c r="O5" i="1"/>
  <c r="O7" i="1" s="1"/>
  <c r="J13" i="1" l="1"/>
  <c r="J50" i="1" s="1"/>
  <c r="K10" i="1"/>
  <c r="L54" i="6" s="1"/>
  <c r="I10" i="1"/>
  <c r="J54" i="6" s="1"/>
  <c r="D10" i="1"/>
  <c r="E54" i="6" s="1"/>
  <c r="L10" i="1"/>
  <c r="M54" i="6" s="1"/>
  <c r="F50" i="1"/>
  <c r="N50" i="1"/>
  <c r="G50" i="1"/>
  <c r="P45" i="1"/>
  <c r="D52" i="13"/>
  <c r="O36" i="11"/>
  <c r="O37" i="11"/>
  <c r="O38" i="11"/>
  <c r="O11" i="1"/>
  <c r="F8" i="1"/>
  <c r="F10" i="1" s="1"/>
  <c r="G54" i="6" s="1"/>
  <c r="J8" i="1"/>
  <c r="J10" i="1" s="1"/>
  <c r="K54" i="6" s="1"/>
  <c r="O9" i="1"/>
  <c r="N8" i="1"/>
  <c r="N10" i="1" s="1"/>
  <c r="O54" i="6" s="1"/>
  <c r="O12" i="1"/>
  <c r="O15" i="1" s="1"/>
  <c r="D60" i="13"/>
  <c r="D11" i="13"/>
  <c r="D19" i="13"/>
  <c r="D36" i="13"/>
  <c r="D123" i="13"/>
  <c r="D17" i="13"/>
  <c r="D28" i="13"/>
  <c r="D13" i="13"/>
  <c r="D21" i="13"/>
  <c r="D44" i="13"/>
  <c r="D15" i="13"/>
  <c r="D23" i="13"/>
  <c r="D164" i="14"/>
  <c r="D162" i="14"/>
  <c r="D160" i="14"/>
  <c r="D158" i="14"/>
  <c r="D156" i="14"/>
  <c r="D154" i="14"/>
  <c r="D152" i="14"/>
  <c r="D150" i="14"/>
  <c r="D148" i="14"/>
  <c r="D146" i="14"/>
  <c r="D144" i="14"/>
  <c r="D142" i="14"/>
  <c r="D140" i="14"/>
  <c r="D138" i="14"/>
  <c r="D136" i="14"/>
  <c r="D134" i="14"/>
  <c r="D132" i="14"/>
  <c r="D130" i="14"/>
  <c r="D128" i="14"/>
  <c r="D126" i="14"/>
  <c r="D124" i="14"/>
  <c r="D122" i="14"/>
  <c r="D120" i="14"/>
  <c r="D118" i="14"/>
  <c r="D116" i="14"/>
  <c r="D114" i="14"/>
  <c r="D112" i="14"/>
  <c r="D110" i="14"/>
  <c r="D165" i="14"/>
  <c r="D157" i="14"/>
  <c r="D149" i="14"/>
  <c r="D141" i="14"/>
  <c r="D133" i="14"/>
  <c r="D125" i="14"/>
  <c r="D117" i="14"/>
  <c r="D109" i="14"/>
  <c r="D107" i="14"/>
  <c r="D105" i="14"/>
  <c r="D103" i="14"/>
  <c r="D101" i="14"/>
  <c r="D99" i="14"/>
  <c r="D97" i="14"/>
  <c r="D95" i="14"/>
  <c r="D93" i="14"/>
  <c r="D91" i="14"/>
  <c r="D89" i="14"/>
  <c r="D87" i="14"/>
  <c r="D85" i="14"/>
  <c r="D83" i="14"/>
  <c r="D81" i="14"/>
  <c r="D79" i="14"/>
  <c r="D77" i="14"/>
  <c r="D75" i="14"/>
  <c r="D73" i="14"/>
  <c r="D71" i="14"/>
  <c r="D69" i="14"/>
  <c r="D67" i="14"/>
  <c r="D65" i="14"/>
  <c r="D159" i="14"/>
  <c r="D151" i="14"/>
  <c r="D143" i="14"/>
  <c r="D135" i="14"/>
  <c r="D127" i="14"/>
  <c r="D119" i="14"/>
  <c r="D111" i="14"/>
  <c r="D153" i="14"/>
  <c r="D137" i="14"/>
  <c r="D121" i="14"/>
  <c r="D108" i="14"/>
  <c r="D104" i="14"/>
  <c r="D100" i="14"/>
  <c r="D96" i="14"/>
  <c r="D92" i="14"/>
  <c r="D88" i="14"/>
  <c r="D84" i="14"/>
  <c r="D80" i="14"/>
  <c r="D76" i="14"/>
  <c r="D72" i="14"/>
  <c r="D68" i="14"/>
  <c r="D64" i="14"/>
  <c r="D163" i="14"/>
  <c r="D147" i="14"/>
  <c r="D131" i="14"/>
  <c r="D115" i="14"/>
  <c r="D63" i="14"/>
  <c r="D61" i="14"/>
  <c r="D59" i="14"/>
  <c r="D57" i="14"/>
  <c r="D55" i="14"/>
  <c r="D53" i="14"/>
  <c r="D51" i="14"/>
  <c r="D49" i="14"/>
  <c r="D47" i="14"/>
  <c r="D45" i="14"/>
  <c r="D43" i="14"/>
  <c r="D41" i="14"/>
  <c r="D39" i="14"/>
  <c r="D37" i="14"/>
  <c r="D35" i="14"/>
  <c r="D33" i="14"/>
  <c r="D31" i="14"/>
  <c r="D29" i="14"/>
  <c r="D27" i="14"/>
  <c r="D25" i="14"/>
  <c r="D23" i="14"/>
  <c r="D21" i="14"/>
  <c r="D19" i="14"/>
  <c r="D17" i="14"/>
  <c r="D15" i="14"/>
  <c r="D13" i="14"/>
  <c r="D11" i="14"/>
  <c r="D161" i="14"/>
  <c r="D145" i="14"/>
  <c r="D129" i="14"/>
  <c r="D113" i="14"/>
  <c r="D106" i="14"/>
  <c r="D102" i="14"/>
  <c r="D98" i="14"/>
  <c r="D94" i="14"/>
  <c r="D90" i="14"/>
  <c r="D86" i="14"/>
  <c r="D82" i="14"/>
  <c r="D78" i="14"/>
  <c r="D74" i="14"/>
  <c r="D70" i="14"/>
  <c r="D38" i="14"/>
  <c r="D46" i="14"/>
  <c r="D54" i="14"/>
  <c r="D62" i="14"/>
  <c r="D123" i="14"/>
  <c r="D10" i="14"/>
  <c r="D14" i="14"/>
  <c r="D18" i="14"/>
  <c r="D22" i="14"/>
  <c r="D26" i="14"/>
  <c r="D30" i="14"/>
  <c r="D34" i="14"/>
  <c r="D44" i="14"/>
  <c r="D52" i="14"/>
  <c r="D60" i="14"/>
  <c r="D66" i="14"/>
  <c r="D42" i="14"/>
  <c r="D50" i="14"/>
  <c r="D58" i="14"/>
  <c r="D155" i="14"/>
  <c r="F9" i="14"/>
  <c r="G9" i="14" s="1"/>
  <c r="D12" i="14"/>
  <c r="D16" i="14"/>
  <c r="D20" i="14"/>
  <c r="D24" i="14"/>
  <c r="D28" i="14"/>
  <c r="D32" i="14"/>
  <c r="D36" i="14"/>
  <c r="D40" i="14"/>
  <c r="D48" i="14"/>
  <c r="D56" i="14"/>
  <c r="D139" i="14"/>
  <c r="D24" i="13"/>
  <c r="D26" i="13"/>
  <c r="D34" i="13"/>
  <c r="D42" i="13"/>
  <c r="D50" i="13"/>
  <c r="D58" i="13"/>
  <c r="D66" i="13"/>
  <c r="F9" i="13"/>
  <c r="G9" i="13" s="1"/>
  <c r="D10" i="13"/>
  <c r="D12" i="13"/>
  <c r="D14" i="13"/>
  <c r="D16" i="13"/>
  <c r="D18" i="13"/>
  <c r="D20" i="13"/>
  <c r="D22" i="13"/>
  <c r="D32" i="13"/>
  <c r="D40" i="13"/>
  <c r="D48" i="13"/>
  <c r="D56" i="13"/>
  <c r="D64" i="13"/>
  <c r="D164" i="13"/>
  <c r="D162" i="13"/>
  <c r="D160" i="13"/>
  <c r="D158" i="13"/>
  <c r="D156" i="13"/>
  <c r="D154" i="13"/>
  <c r="D152" i="13"/>
  <c r="D150" i="13"/>
  <c r="D148" i="13"/>
  <c r="D146" i="13"/>
  <c r="D144" i="13"/>
  <c r="D142" i="13"/>
  <c r="D140" i="13"/>
  <c r="D138" i="13"/>
  <c r="D136" i="13"/>
  <c r="D134" i="13"/>
  <c r="D132" i="13"/>
  <c r="D130" i="13"/>
  <c r="D128" i="13"/>
  <c r="D126" i="13"/>
  <c r="D124" i="13"/>
  <c r="D122" i="13"/>
  <c r="D120" i="13"/>
  <c r="D118" i="13"/>
  <c r="D116" i="13"/>
  <c r="D114" i="13"/>
  <c r="D112" i="13"/>
  <c r="D110" i="13"/>
  <c r="D165" i="13"/>
  <c r="D157" i="13"/>
  <c r="D149" i="13"/>
  <c r="D141" i="13"/>
  <c r="D133" i="13"/>
  <c r="D125" i="13"/>
  <c r="D117" i="13"/>
  <c r="D109" i="13"/>
  <c r="D107" i="13"/>
  <c r="D105" i="13"/>
  <c r="D103" i="13"/>
  <c r="D101" i="13"/>
  <c r="D99" i="13"/>
  <c r="D97" i="13"/>
  <c r="D95" i="13"/>
  <c r="D93" i="13"/>
  <c r="D91" i="13"/>
  <c r="D89" i="13"/>
  <c r="D87" i="13"/>
  <c r="D85" i="13"/>
  <c r="D83" i="13"/>
  <c r="D81" i="13"/>
  <c r="D79" i="13"/>
  <c r="D77" i="13"/>
  <c r="D75" i="13"/>
  <c r="D73" i="13"/>
  <c r="D71" i="13"/>
  <c r="D69" i="13"/>
  <c r="D67" i="13"/>
  <c r="D159" i="13"/>
  <c r="D151" i="13"/>
  <c r="D143" i="13"/>
  <c r="D135" i="13"/>
  <c r="D127" i="13"/>
  <c r="D119" i="13"/>
  <c r="D111" i="13"/>
  <c r="D161" i="13"/>
  <c r="D153" i="13"/>
  <c r="D145" i="13"/>
  <c r="D137" i="13"/>
  <c r="D129" i="13"/>
  <c r="D121" i="13"/>
  <c r="D113" i="13"/>
  <c r="D108" i="13"/>
  <c r="D106" i="13"/>
  <c r="D104" i="13"/>
  <c r="D102" i="13"/>
  <c r="D100" i="13"/>
  <c r="D98" i="13"/>
  <c r="D96" i="13"/>
  <c r="D94" i="13"/>
  <c r="D92" i="13"/>
  <c r="D90" i="13"/>
  <c r="D88" i="13"/>
  <c r="D86" i="13"/>
  <c r="D84" i="13"/>
  <c r="D82" i="13"/>
  <c r="D80" i="13"/>
  <c r="D78" i="13"/>
  <c r="D76" i="13"/>
  <c r="D74" i="13"/>
  <c r="D72" i="13"/>
  <c r="D70" i="13"/>
  <c r="D68" i="13"/>
  <c r="D163" i="13"/>
  <c r="D131" i="13"/>
  <c r="D139" i="13"/>
  <c r="D65" i="13"/>
  <c r="D63" i="13"/>
  <c r="D61" i="13"/>
  <c r="D59" i="13"/>
  <c r="D57" i="13"/>
  <c r="D55" i="13"/>
  <c r="D53" i="13"/>
  <c r="D51" i="13"/>
  <c r="D49" i="13"/>
  <c r="D47" i="13"/>
  <c r="D45" i="13"/>
  <c r="D43" i="13"/>
  <c r="D41" i="13"/>
  <c r="D39" i="13"/>
  <c r="D37" i="13"/>
  <c r="D35" i="13"/>
  <c r="D33" i="13"/>
  <c r="D31" i="13"/>
  <c r="D29" i="13"/>
  <c r="D27" i="13"/>
  <c r="D25" i="13"/>
  <c r="D147" i="13"/>
  <c r="D115" i="13"/>
  <c r="D30" i="13"/>
  <c r="D38" i="13"/>
  <c r="D46" i="13"/>
  <c r="D54" i="13"/>
  <c r="D62" i="13"/>
  <c r="D155" i="13"/>
  <c r="D164" i="12"/>
  <c r="D162" i="12"/>
  <c r="D160" i="12"/>
  <c r="D158" i="12"/>
  <c r="D156" i="12"/>
  <c r="D154" i="12"/>
  <c r="D152" i="12"/>
  <c r="D150" i="12"/>
  <c r="D165" i="12"/>
  <c r="D157" i="12"/>
  <c r="D155" i="12"/>
  <c r="D151" i="12"/>
  <c r="D145" i="12"/>
  <c r="D144" i="12"/>
  <c r="D137" i="12"/>
  <c r="D136" i="12"/>
  <c r="D129" i="12"/>
  <c r="D128" i="12"/>
  <c r="D121" i="12"/>
  <c r="D120" i="12"/>
  <c r="D113" i="12"/>
  <c r="D112" i="12"/>
  <c r="D108" i="12"/>
  <c r="D106" i="12"/>
  <c r="D104" i="12"/>
  <c r="D102" i="12"/>
  <c r="D100" i="12"/>
  <c r="D98" i="12"/>
  <c r="D96" i="12"/>
  <c r="D94" i="12"/>
  <c r="D92" i="12"/>
  <c r="D90" i="12"/>
  <c r="D88" i="12"/>
  <c r="D86" i="12"/>
  <c r="D84" i="12"/>
  <c r="D82" i="12"/>
  <c r="D80" i="12"/>
  <c r="D78" i="12"/>
  <c r="D76" i="12"/>
  <c r="D74" i="12"/>
  <c r="D72" i="12"/>
  <c r="D70" i="12"/>
  <c r="D68" i="12"/>
  <c r="D66" i="12"/>
  <c r="D64" i="12"/>
  <c r="D62" i="12"/>
  <c r="D60" i="12"/>
  <c r="D58" i="12"/>
  <c r="D56" i="12"/>
  <c r="D54" i="12"/>
  <c r="D52" i="12"/>
  <c r="D50" i="12"/>
  <c r="D48" i="12"/>
  <c r="D46" i="12"/>
  <c r="D44" i="12"/>
  <c r="D42" i="12"/>
  <c r="D40" i="12"/>
  <c r="D38" i="12"/>
  <c r="D36" i="12"/>
  <c r="D34" i="12"/>
  <c r="D32" i="12"/>
  <c r="D161" i="12"/>
  <c r="D153" i="12"/>
  <c r="D148" i="12"/>
  <c r="D147" i="12"/>
  <c r="D142" i="12"/>
  <c r="D141" i="12"/>
  <c r="D135" i="12"/>
  <c r="D122" i="12"/>
  <c r="D116" i="12"/>
  <c r="D115" i="12"/>
  <c r="D110" i="12"/>
  <c r="D109" i="12"/>
  <c r="D101" i="12"/>
  <c r="D93" i="12"/>
  <c r="D85" i="12"/>
  <c r="D77" i="12"/>
  <c r="D69" i="12"/>
  <c r="D61" i="12"/>
  <c r="D53" i="12"/>
  <c r="D45" i="12"/>
  <c r="D37" i="12"/>
  <c r="D31" i="12"/>
  <c r="D29" i="12"/>
  <c r="D27" i="12"/>
  <c r="D25" i="12"/>
  <c r="D23" i="12"/>
  <c r="D21" i="12"/>
  <c r="D19" i="12"/>
  <c r="D17" i="12"/>
  <c r="D15" i="12"/>
  <c r="D13" i="12"/>
  <c r="D11" i="12"/>
  <c r="D149" i="12"/>
  <c r="D143" i="12"/>
  <c r="D130" i="12"/>
  <c r="D124" i="12"/>
  <c r="D123" i="12"/>
  <c r="D118" i="12"/>
  <c r="D117" i="12"/>
  <c r="D111" i="12"/>
  <c r="D107" i="12"/>
  <c r="D99" i="12"/>
  <c r="D91" i="12"/>
  <c r="D83" i="12"/>
  <c r="D75" i="12"/>
  <c r="D163" i="12"/>
  <c r="D132" i="12"/>
  <c r="D125" i="12"/>
  <c r="D105" i="12"/>
  <c r="D89" i="12"/>
  <c r="D73" i="12"/>
  <c r="D67" i="12"/>
  <c r="D47" i="12"/>
  <c r="D41" i="12"/>
  <c r="D35" i="12"/>
  <c r="D28" i="12"/>
  <c r="D20" i="12"/>
  <c r="D12" i="12"/>
  <c r="F9" i="12"/>
  <c r="G9" i="12" s="1"/>
  <c r="D146" i="12"/>
  <c r="D139" i="12"/>
  <c r="D134" i="12"/>
  <c r="D127" i="12"/>
  <c r="D103" i="12"/>
  <c r="D87" i="12"/>
  <c r="D71" i="12"/>
  <c r="D55" i="12"/>
  <c r="D49" i="12"/>
  <c r="D43" i="12"/>
  <c r="D26" i="12"/>
  <c r="D159" i="12"/>
  <c r="D138" i="12"/>
  <c r="D131" i="12"/>
  <c r="D126" i="12"/>
  <c r="D119" i="12"/>
  <c r="D97" i="12"/>
  <c r="D81" i="12"/>
  <c r="D63" i="12"/>
  <c r="D57" i="12"/>
  <c r="D51" i="12"/>
  <c r="D24" i="12"/>
  <c r="D16" i="12"/>
  <c r="D140" i="12"/>
  <c r="D133" i="12"/>
  <c r="D114" i="12"/>
  <c r="D79" i="12"/>
  <c r="D65" i="12"/>
  <c r="D59" i="12"/>
  <c r="D33" i="12"/>
  <c r="D18" i="12"/>
  <c r="D10" i="12"/>
  <c r="D95" i="12"/>
  <c r="D39" i="12"/>
  <c r="D30" i="12"/>
  <c r="D22" i="12"/>
  <c r="D14" i="12"/>
  <c r="K13" i="1"/>
  <c r="K16" i="1" s="1"/>
  <c r="D13" i="1"/>
  <c r="D50" i="1" s="1"/>
  <c r="H13" i="1"/>
  <c r="H50" i="1" s="1"/>
  <c r="L13" i="1"/>
  <c r="L50" i="1" s="1"/>
  <c r="C8" i="1"/>
  <c r="G8" i="1"/>
  <c r="G10" i="1" s="1"/>
  <c r="H54" i="6" s="1"/>
  <c r="P5" i="1"/>
  <c r="Q5" i="1" s="1"/>
  <c r="R5" i="1" s="1"/>
  <c r="E13" i="1"/>
  <c r="E16" i="1" s="1"/>
  <c r="I13" i="1"/>
  <c r="I16" i="1" s="1"/>
  <c r="M13" i="1"/>
  <c r="M16" i="1" s="1"/>
  <c r="C13" i="1"/>
  <c r="C16" i="1" s="1"/>
  <c r="O45" i="1"/>
  <c r="Q43" i="1"/>
  <c r="F16" i="1"/>
  <c r="N16" i="1"/>
  <c r="G16" i="1"/>
  <c r="R12" i="1"/>
  <c r="R9" i="1" s="1"/>
  <c r="S12" i="1"/>
  <c r="S9" i="1" s="1"/>
  <c r="P12" i="1"/>
  <c r="P9" i="1" s="1"/>
  <c r="Q12" i="1"/>
  <c r="Q9" i="1" s="1"/>
  <c r="C39" i="6"/>
  <c r="D39" i="6" s="1"/>
  <c r="E39" i="6" s="1"/>
  <c r="F39" i="6" s="1"/>
  <c r="G39" i="6" s="1"/>
  <c r="H39" i="6" s="1"/>
  <c r="I39" i="6" s="1"/>
  <c r="J39" i="6" s="1"/>
  <c r="K39" i="6" s="1"/>
  <c r="L39" i="6" s="1"/>
  <c r="M39" i="6" s="1"/>
  <c r="N39" i="6" s="1"/>
  <c r="O39" i="6" s="1"/>
  <c r="P39" i="6" s="1"/>
  <c r="Q39" i="6" s="1"/>
  <c r="R39" i="6" s="1"/>
  <c r="S39" i="6" s="1"/>
  <c r="T39" i="6" s="1"/>
  <c r="C37" i="6"/>
  <c r="C67" i="6" s="1"/>
  <c r="C36" i="6"/>
  <c r="D36" i="6" s="1"/>
  <c r="E36" i="6" s="1"/>
  <c r="F36" i="6" s="1"/>
  <c r="G36" i="6" s="1"/>
  <c r="H36" i="6" s="1"/>
  <c r="I36" i="6" s="1"/>
  <c r="J36" i="6" s="1"/>
  <c r="K36" i="6" s="1"/>
  <c r="L36" i="6" s="1"/>
  <c r="M36" i="6" s="1"/>
  <c r="N36" i="6" s="1"/>
  <c r="O36" i="6" s="1"/>
  <c r="P36" i="6" s="1"/>
  <c r="Q36" i="6" s="1"/>
  <c r="R36" i="6" s="1"/>
  <c r="S36" i="6" s="1"/>
  <c r="T36" i="6" s="1"/>
  <c r="C35" i="6"/>
  <c r="C34" i="6"/>
  <c r="C63" i="6" s="1"/>
  <c r="C33" i="6"/>
  <c r="C32" i="6"/>
  <c r="C29" i="6"/>
  <c r="C28" i="6"/>
  <c r="C27" i="6"/>
  <c r="C26" i="6"/>
  <c r="C23" i="6"/>
  <c r="C22" i="6"/>
  <c r="D22" i="6" s="1"/>
  <c r="E22" i="6" s="1"/>
  <c r="F22" i="6" s="1"/>
  <c r="G22" i="6" s="1"/>
  <c r="H22" i="6" s="1"/>
  <c r="I22" i="6" s="1"/>
  <c r="J22" i="6" s="1"/>
  <c r="K22" i="6" s="1"/>
  <c r="L22" i="6" s="1"/>
  <c r="M22" i="6" s="1"/>
  <c r="N22" i="6" s="1"/>
  <c r="O22" i="6" s="1"/>
  <c r="P22" i="6" s="1"/>
  <c r="Q22" i="6" s="1"/>
  <c r="R22" i="6" s="1"/>
  <c r="S22" i="6" s="1"/>
  <c r="T22" i="6" s="1"/>
  <c r="C21" i="6"/>
  <c r="D21" i="6" s="1"/>
  <c r="E21" i="6" s="1"/>
  <c r="F21" i="6" s="1"/>
  <c r="G21" i="6" s="1"/>
  <c r="H21" i="6" s="1"/>
  <c r="I21" i="6" s="1"/>
  <c r="J21" i="6" s="1"/>
  <c r="K21" i="6" s="1"/>
  <c r="L21" i="6" s="1"/>
  <c r="M21" i="6" s="1"/>
  <c r="N21" i="6" s="1"/>
  <c r="O21" i="6" s="1"/>
  <c r="C16" i="6"/>
  <c r="C15" i="6"/>
  <c r="D15" i="6" s="1"/>
  <c r="E15" i="6" s="1"/>
  <c r="F15" i="6" s="1"/>
  <c r="G15" i="6" s="1"/>
  <c r="H15" i="6" s="1"/>
  <c r="I15" i="6" s="1"/>
  <c r="J15" i="6" s="1"/>
  <c r="K15" i="6" s="1"/>
  <c r="L15" i="6" s="1"/>
  <c r="M15" i="6" s="1"/>
  <c r="N15" i="6" s="1"/>
  <c r="O15" i="6" s="1"/>
  <c r="P15" i="6" s="1"/>
  <c r="Q15" i="6" s="1"/>
  <c r="R15" i="6" s="1"/>
  <c r="S15" i="6" s="1"/>
  <c r="T15" i="6" s="1"/>
  <c r="C14" i="6"/>
  <c r="D14" i="6" s="1"/>
  <c r="E14" i="6" s="1"/>
  <c r="F14" i="6" s="1"/>
  <c r="G14" i="6" s="1"/>
  <c r="H14" i="6" s="1"/>
  <c r="I14" i="6" s="1"/>
  <c r="J14" i="6" s="1"/>
  <c r="K14" i="6" s="1"/>
  <c r="L14" i="6" s="1"/>
  <c r="M14" i="6" s="1"/>
  <c r="N14" i="6" s="1"/>
  <c r="O14" i="6" s="1"/>
  <c r="P14" i="6" s="1"/>
  <c r="Q14" i="6" s="1"/>
  <c r="R14" i="6" s="1"/>
  <c r="S14" i="6" s="1"/>
  <c r="T14" i="6" s="1"/>
  <c r="C13" i="6"/>
  <c r="C12" i="6"/>
  <c r="C9" i="6"/>
  <c r="C8" i="6"/>
  <c r="C7" i="6"/>
  <c r="D91" i="2"/>
  <c r="D90" i="2"/>
  <c r="D89" i="2"/>
  <c r="D88" i="2"/>
  <c r="D77" i="2"/>
  <c r="J16" i="1" l="1"/>
  <c r="O13" i="1"/>
  <c r="O16" i="1" s="1"/>
  <c r="C45" i="11"/>
  <c r="O45" i="11" s="1"/>
  <c r="I50" i="1"/>
  <c r="E50" i="1"/>
  <c r="K50" i="1"/>
  <c r="M50" i="1"/>
  <c r="C50" i="1"/>
  <c r="S5" i="1"/>
  <c r="S11" i="1" s="1"/>
  <c r="S13" i="1" s="1"/>
  <c r="S56" i="6"/>
  <c r="S62" i="6"/>
  <c r="D9" i="6"/>
  <c r="C72" i="6"/>
  <c r="R11" i="1"/>
  <c r="R13" i="1" s="1"/>
  <c r="C62" i="6"/>
  <c r="P11" i="1"/>
  <c r="P8" i="1" s="1"/>
  <c r="P10" i="1" s="1"/>
  <c r="Q54" i="6" s="1"/>
  <c r="R7" i="1"/>
  <c r="Q11" i="1"/>
  <c r="Q13" i="1" s="1"/>
  <c r="P7" i="1"/>
  <c r="Q7" i="1"/>
  <c r="B10" i="14"/>
  <c r="E10" i="14"/>
  <c r="E10" i="13"/>
  <c r="B10" i="13"/>
  <c r="E10" i="12"/>
  <c r="B10" i="12"/>
  <c r="D16" i="1"/>
  <c r="L16" i="1"/>
  <c r="H16" i="1"/>
  <c r="R43" i="1"/>
  <c r="R45" i="1" s="1"/>
  <c r="Q45" i="1"/>
  <c r="O8" i="1"/>
  <c r="O10" i="1" s="1"/>
  <c r="C10" i="1"/>
  <c r="C40" i="6"/>
  <c r="H34" i="2"/>
  <c r="H24" i="2"/>
  <c r="S47" i="1"/>
  <c r="S10" i="11" s="1"/>
  <c r="R47" i="1"/>
  <c r="Q47" i="1"/>
  <c r="P47" i="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C4" i="6"/>
  <c r="D4" i="6"/>
  <c r="C4" i="11"/>
  <c r="D4" i="11" s="1"/>
  <c r="E4" i="11" s="1"/>
  <c r="F4" i="11" s="1"/>
  <c r="G4" i="11" s="1"/>
  <c r="H4" i="11" s="1"/>
  <c r="I4" i="11" s="1"/>
  <c r="J4" i="11" s="1"/>
  <c r="K4" i="11" s="1"/>
  <c r="L4" i="11" s="1"/>
  <c r="M4" i="11" s="1"/>
  <c r="N4" i="11" s="1"/>
  <c r="C4" i="1"/>
  <c r="O31" i="11"/>
  <c r="O47" i="1"/>
  <c r="O49" i="1" s="1"/>
  <c r="D97" i="2"/>
  <c r="B5" i="7"/>
  <c r="F9" i="7"/>
  <c r="B4" i="7"/>
  <c r="O34" i="1"/>
  <c r="P34" i="1" s="1"/>
  <c r="Q34" i="1" s="1"/>
  <c r="R34" i="1" s="1"/>
  <c r="S34" i="1" s="1"/>
  <c r="O19" i="1"/>
  <c r="O20" i="1"/>
  <c r="P20" i="1" s="1"/>
  <c r="Q20" i="1" s="1"/>
  <c r="R20" i="1" s="1"/>
  <c r="S20" i="1" s="1"/>
  <c r="O21" i="1"/>
  <c r="P21" i="1" s="1"/>
  <c r="Q21" i="1" s="1"/>
  <c r="R21" i="1" s="1"/>
  <c r="S21" i="1" s="1"/>
  <c r="O22" i="1"/>
  <c r="P22" i="1" s="1"/>
  <c r="Q22" i="1" s="1"/>
  <c r="R22" i="1" s="1"/>
  <c r="S22" i="1" s="1"/>
  <c r="O23" i="1"/>
  <c r="P23" i="1" s="1"/>
  <c r="Q23" i="1" s="1"/>
  <c r="R23" i="1" s="1"/>
  <c r="S23" i="1" s="1"/>
  <c r="O24" i="1"/>
  <c r="P24" i="1" s="1"/>
  <c r="Q24" i="1" s="1"/>
  <c r="R24" i="1" s="1"/>
  <c r="S24" i="1" s="1"/>
  <c r="O25" i="1"/>
  <c r="P25" i="1" s="1"/>
  <c r="Q25" i="1" s="1"/>
  <c r="R25" i="1" s="1"/>
  <c r="S25" i="1" s="1"/>
  <c r="O26" i="1"/>
  <c r="P26" i="1" s="1"/>
  <c r="Q26" i="1" s="1"/>
  <c r="R26" i="1" s="1"/>
  <c r="S26" i="1" s="1"/>
  <c r="O27" i="1"/>
  <c r="P27" i="1" s="1"/>
  <c r="Q27" i="1" s="1"/>
  <c r="R27" i="1" s="1"/>
  <c r="S27" i="1" s="1"/>
  <c r="O28" i="1"/>
  <c r="P28" i="1" s="1"/>
  <c r="Q28" i="1" s="1"/>
  <c r="R28" i="1" s="1"/>
  <c r="S28" i="1" s="1"/>
  <c r="O29" i="1"/>
  <c r="P29" i="1" s="1"/>
  <c r="Q29" i="1" s="1"/>
  <c r="R29" i="1" s="1"/>
  <c r="S29" i="1" s="1"/>
  <c r="O30" i="1"/>
  <c r="P30" i="1" s="1"/>
  <c r="Q30" i="1" s="1"/>
  <c r="R30" i="1" s="1"/>
  <c r="S30" i="1" s="1"/>
  <c r="O31" i="1"/>
  <c r="P31" i="1" s="1"/>
  <c r="Q31" i="1" s="1"/>
  <c r="R31" i="1" s="1"/>
  <c r="S31" i="1" s="1"/>
  <c r="O32" i="1"/>
  <c r="P32" i="1" s="1"/>
  <c r="Q32" i="1" s="1"/>
  <c r="R32" i="1" s="1"/>
  <c r="S32" i="1" s="1"/>
  <c r="O33" i="1"/>
  <c r="P33" i="1" s="1"/>
  <c r="Q33" i="1" s="1"/>
  <c r="R33" i="1" s="1"/>
  <c r="S33" i="1" s="1"/>
  <c r="O35" i="1"/>
  <c r="P35" i="1" s="1"/>
  <c r="Q35" i="1" s="1"/>
  <c r="R35" i="1" s="1"/>
  <c r="S35" i="1" s="1"/>
  <c r="O36" i="1"/>
  <c r="P36" i="1" s="1"/>
  <c r="Q36" i="1" s="1"/>
  <c r="R36" i="1" s="1"/>
  <c r="S36" i="1" s="1"/>
  <c r="O37" i="1"/>
  <c r="P37" i="1" s="1"/>
  <c r="Q37" i="1" s="1"/>
  <c r="R37" i="1" s="1"/>
  <c r="S37" i="1" s="1"/>
  <c r="O38" i="1"/>
  <c r="P38" i="1" s="1"/>
  <c r="Q38" i="1" s="1"/>
  <c r="R38" i="1" s="1"/>
  <c r="S38" i="1" s="1"/>
  <c r="O39" i="1"/>
  <c r="P39" i="1" s="1"/>
  <c r="Q39" i="1" s="1"/>
  <c r="R39" i="1" s="1"/>
  <c r="S39" i="1" s="1"/>
  <c r="O40" i="1"/>
  <c r="P40" i="1" s="1"/>
  <c r="Q40" i="1" s="1"/>
  <c r="R40" i="1" s="1"/>
  <c r="S40" i="1" s="1"/>
  <c r="C30" i="6"/>
  <c r="C24" i="6"/>
  <c r="D75" i="6" l="1"/>
  <c r="D76" i="6"/>
  <c r="C75" i="6"/>
  <c r="C76" i="6"/>
  <c r="C81" i="6" s="1"/>
  <c r="C80" i="6" s="1"/>
  <c r="R8" i="1"/>
  <c r="R10" i="1" s="1"/>
  <c r="S54" i="6" s="1"/>
  <c r="S8" i="1"/>
  <c r="S10" i="1" s="1"/>
  <c r="T54" i="6" s="1"/>
  <c r="S7" i="1"/>
  <c r="S16" i="1" s="1"/>
  <c r="T56" i="6"/>
  <c r="T62" i="6"/>
  <c r="R56" i="6"/>
  <c r="R62" i="6"/>
  <c r="E9" i="6"/>
  <c r="F9" i="6" s="1"/>
  <c r="G9" i="6" s="1"/>
  <c r="H9" i="6" s="1"/>
  <c r="I9" i="6" s="1"/>
  <c r="J9" i="6" s="1"/>
  <c r="K9" i="6" s="1"/>
  <c r="L9" i="6" s="1"/>
  <c r="M9" i="6" s="1"/>
  <c r="N9" i="6" s="1"/>
  <c r="O9" i="6" s="1"/>
  <c r="P9" i="6" s="1"/>
  <c r="D65" i="6"/>
  <c r="D70" i="6"/>
  <c r="D71" i="6" s="1"/>
  <c r="C65" i="6"/>
  <c r="C70" i="6"/>
  <c r="C71" i="6" s="1"/>
  <c r="S43" i="1"/>
  <c r="S45" i="1" s="1"/>
  <c r="P13" i="1"/>
  <c r="P16" i="1" s="1"/>
  <c r="R49" i="1"/>
  <c r="R10" i="11"/>
  <c r="Q8" i="1"/>
  <c r="Q10" i="1" s="1"/>
  <c r="R54" i="6" s="1"/>
  <c r="D43" i="6"/>
  <c r="D60" i="6"/>
  <c r="C43" i="6"/>
  <c r="C60" i="6"/>
  <c r="D54" i="6"/>
  <c r="P54" i="6" s="1"/>
  <c r="D4" i="1"/>
  <c r="E4" i="1" s="1"/>
  <c r="F4" i="1" s="1"/>
  <c r="G4" i="1" s="1"/>
  <c r="H4" i="1" s="1"/>
  <c r="I4" i="1" s="1"/>
  <c r="J4" i="1" s="1"/>
  <c r="K4" i="1" s="1"/>
  <c r="L4" i="1" s="1"/>
  <c r="M4" i="1" s="1"/>
  <c r="N4" i="1" s="1"/>
  <c r="Q4" i="1" s="1"/>
  <c r="Q16" i="1"/>
  <c r="R16" i="1"/>
  <c r="F10" i="14"/>
  <c r="C42" i="11" s="1"/>
  <c r="D29" i="6" s="1"/>
  <c r="C55" i="1"/>
  <c r="F10" i="13"/>
  <c r="C41" i="11" s="1"/>
  <c r="D28" i="6" s="1"/>
  <c r="C54" i="1"/>
  <c r="F10" i="12"/>
  <c r="C40" i="11" s="1"/>
  <c r="D27" i="6" s="1"/>
  <c r="C53" i="1"/>
  <c r="Q49" i="1"/>
  <c r="S49" i="1"/>
  <c r="P49" i="1"/>
  <c r="O41" i="1"/>
  <c r="O50" i="1" s="1"/>
  <c r="D151" i="7"/>
  <c r="C41" i="6"/>
  <c r="C17" i="6"/>
  <c r="C10" i="6"/>
  <c r="D38" i="7"/>
  <c r="D103" i="7"/>
  <c r="D21" i="7"/>
  <c r="D20" i="7"/>
  <c r="D55" i="7"/>
  <c r="D119" i="7"/>
  <c r="D71" i="7"/>
  <c r="D135" i="7"/>
  <c r="D22" i="7"/>
  <c r="D87" i="7"/>
  <c r="G9" i="7"/>
  <c r="E10" i="7" s="1"/>
  <c r="D26" i="7"/>
  <c r="D42" i="7"/>
  <c r="D75" i="7"/>
  <c r="D107" i="7"/>
  <c r="D155" i="7"/>
  <c r="D30" i="7"/>
  <c r="D47" i="7"/>
  <c r="D63" i="7"/>
  <c r="D79" i="7"/>
  <c r="D95" i="7"/>
  <c r="D111" i="7"/>
  <c r="D127" i="7"/>
  <c r="D143" i="7"/>
  <c r="D159" i="7"/>
  <c r="D13" i="7"/>
  <c r="D59" i="7"/>
  <c r="D91" i="7"/>
  <c r="D123" i="7"/>
  <c r="D139" i="7"/>
  <c r="D34" i="7"/>
  <c r="D51" i="7"/>
  <c r="D67" i="7"/>
  <c r="D83" i="7"/>
  <c r="D99" i="7"/>
  <c r="D115" i="7"/>
  <c r="D131" i="7"/>
  <c r="D147" i="7"/>
  <c r="D163" i="7"/>
  <c r="D17" i="7"/>
  <c r="D27" i="7"/>
  <c r="D35" i="7"/>
  <c r="D43" i="7"/>
  <c r="D52" i="7"/>
  <c r="D60" i="7"/>
  <c r="D68" i="7"/>
  <c r="D76" i="7"/>
  <c r="D84" i="7"/>
  <c r="D92" i="7"/>
  <c r="D100" i="7"/>
  <c r="D108" i="7"/>
  <c r="D116" i="7"/>
  <c r="D128" i="7"/>
  <c r="D24" i="7"/>
  <c r="D28" i="7"/>
  <c r="D32" i="7"/>
  <c r="D36" i="7"/>
  <c r="D40" i="7"/>
  <c r="D44" i="7"/>
  <c r="D49" i="7"/>
  <c r="D53" i="7"/>
  <c r="D57" i="7"/>
  <c r="D61" i="7"/>
  <c r="D65" i="7"/>
  <c r="D69" i="7"/>
  <c r="D73" i="7"/>
  <c r="D77" i="7"/>
  <c r="D81" i="7"/>
  <c r="D85" i="7"/>
  <c r="D89" i="7"/>
  <c r="D93" i="7"/>
  <c r="D97" i="7"/>
  <c r="D101" i="7"/>
  <c r="D105" i="7"/>
  <c r="D109" i="7"/>
  <c r="D113" i="7"/>
  <c r="D117" i="7"/>
  <c r="D121" i="7"/>
  <c r="D125" i="7"/>
  <c r="D129" i="7"/>
  <c r="D133" i="7"/>
  <c r="D137" i="7"/>
  <c r="D141" i="7"/>
  <c r="D145" i="7"/>
  <c r="D149" i="7"/>
  <c r="D153" i="7"/>
  <c r="D157" i="7"/>
  <c r="D161" i="7"/>
  <c r="D165" i="7"/>
  <c r="D11" i="7"/>
  <c r="D15" i="7"/>
  <c r="D19" i="7"/>
  <c r="D23" i="7"/>
  <c r="D31" i="7"/>
  <c r="D39" i="7"/>
  <c r="D48" i="7"/>
  <c r="D56" i="7"/>
  <c r="D64" i="7"/>
  <c r="D72" i="7"/>
  <c r="D80" i="7"/>
  <c r="D88" i="7"/>
  <c r="D96" i="7"/>
  <c r="D104" i="7"/>
  <c r="D112" i="7"/>
  <c r="D120" i="7"/>
  <c r="D124" i="7"/>
  <c r="D132" i="7"/>
  <c r="D136" i="7"/>
  <c r="D140" i="7"/>
  <c r="D144" i="7"/>
  <c r="D148" i="7"/>
  <c r="D152" i="7"/>
  <c r="D156" i="7"/>
  <c r="D160" i="7"/>
  <c r="D164" i="7"/>
  <c r="D10" i="7"/>
  <c r="D14" i="7"/>
  <c r="D18" i="7"/>
  <c r="D45" i="7"/>
  <c r="D25" i="7"/>
  <c r="D29" i="7"/>
  <c r="D33" i="7"/>
  <c r="D37" i="7"/>
  <c r="D41" i="7"/>
  <c r="D46" i="7"/>
  <c r="D50" i="7"/>
  <c r="D54" i="7"/>
  <c r="D58" i="7"/>
  <c r="D62" i="7"/>
  <c r="D66" i="7"/>
  <c r="D70" i="7"/>
  <c r="D74" i="7"/>
  <c r="D78" i="7"/>
  <c r="D82" i="7"/>
  <c r="D86" i="7"/>
  <c r="D90" i="7"/>
  <c r="D94" i="7"/>
  <c r="D98" i="7"/>
  <c r="D102" i="7"/>
  <c r="D106" i="7"/>
  <c r="D110" i="7"/>
  <c r="D114" i="7"/>
  <c r="D118" i="7"/>
  <c r="D122" i="7"/>
  <c r="D126" i="7"/>
  <c r="D130" i="7"/>
  <c r="D134" i="7"/>
  <c r="D138" i="7"/>
  <c r="D142" i="7"/>
  <c r="D146" i="7"/>
  <c r="D150" i="7"/>
  <c r="D154" i="7"/>
  <c r="D158" i="7"/>
  <c r="D162" i="7"/>
  <c r="D12" i="7"/>
  <c r="D16" i="7"/>
  <c r="E4" i="6"/>
  <c r="Q4" i="11"/>
  <c r="R4" i="11"/>
  <c r="P19" i="1"/>
  <c r="S4" i="11"/>
  <c r="P4" i="11"/>
  <c r="O4" i="11"/>
  <c r="C61" i="6" l="1"/>
  <c r="D12" i="6"/>
  <c r="D47" i="6" s="1"/>
  <c r="E75" i="6"/>
  <c r="E76" i="6"/>
  <c r="E81" i="6" s="1"/>
  <c r="Q56" i="6"/>
  <c r="Q62" i="6"/>
  <c r="P62" i="6"/>
  <c r="Q9" i="6"/>
  <c r="R9" i="6" s="1"/>
  <c r="S9" i="6" s="1"/>
  <c r="T9" i="6" s="1"/>
  <c r="E65" i="6"/>
  <c r="E70" i="6"/>
  <c r="E71" i="6" s="1"/>
  <c r="N62" i="6"/>
  <c r="S4" i="1"/>
  <c r="H62" i="6"/>
  <c r="M62" i="6"/>
  <c r="L62" i="6"/>
  <c r="G62" i="6"/>
  <c r="K62" i="6"/>
  <c r="J62" i="6"/>
  <c r="I62" i="6"/>
  <c r="O62" i="6"/>
  <c r="D61" i="6"/>
  <c r="F4" i="6"/>
  <c r="E60" i="6"/>
  <c r="I56" i="6"/>
  <c r="N56" i="6"/>
  <c r="H56" i="6"/>
  <c r="M56" i="6"/>
  <c r="G56" i="6"/>
  <c r="L56" i="6"/>
  <c r="K56" i="6"/>
  <c r="J56" i="6"/>
  <c r="O56" i="6"/>
  <c r="G10" i="14"/>
  <c r="E11" i="14" s="1"/>
  <c r="F11" i="14" s="1"/>
  <c r="D42" i="11" s="1"/>
  <c r="E29" i="6" s="1"/>
  <c r="G10" i="13"/>
  <c r="E11" i="13" s="1"/>
  <c r="D54" i="1" s="1"/>
  <c r="G10" i="12"/>
  <c r="B11" i="12" s="1"/>
  <c r="O4" i="1"/>
  <c r="R4" i="1"/>
  <c r="P4" i="1"/>
  <c r="C52" i="1"/>
  <c r="B10" i="7"/>
  <c r="Q19" i="1"/>
  <c r="Q41" i="1" s="1"/>
  <c r="Q50" i="1" s="1"/>
  <c r="P41" i="1"/>
  <c r="P50" i="1" s="1"/>
  <c r="C18" i="6"/>
  <c r="C42" i="6" s="1"/>
  <c r="E43" i="6"/>
  <c r="E12" i="6" s="1"/>
  <c r="F10" i="7"/>
  <c r="E61" i="6" l="1"/>
  <c r="F75" i="6"/>
  <c r="F79" i="6" s="1"/>
  <c r="E60" i="1" s="1"/>
  <c r="F76" i="6"/>
  <c r="R19" i="1"/>
  <c r="R41" i="1" s="1"/>
  <c r="R50" i="1" s="1"/>
  <c r="E47" i="6"/>
  <c r="F70" i="6"/>
  <c r="F71" i="6" s="1"/>
  <c r="C14" i="11"/>
  <c r="F43" i="6"/>
  <c r="F65" i="6"/>
  <c r="D62" i="6"/>
  <c r="E62" i="6"/>
  <c r="F62" i="6"/>
  <c r="G4" i="6"/>
  <c r="F60" i="6"/>
  <c r="F61" i="6" s="1"/>
  <c r="D56" i="6"/>
  <c r="D13" i="6" s="1"/>
  <c r="F56" i="6"/>
  <c r="E56" i="6"/>
  <c r="E13" i="6" s="1"/>
  <c r="C39" i="11"/>
  <c r="D26" i="6" s="1"/>
  <c r="O35" i="11"/>
  <c r="B11" i="14"/>
  <c r="G11" i="14" s="1"/>
  <c r="B12" i="14" s="1"/>
  <c r="E11" i="12"/>
  <c r="F11" i="12" s="1"/>
  <c r="D40" i="11" s="1"/>
  <c r="E27" i="6" s="1"/>
  <c r="F11" i="13"/>
  <c r="D41" i="11" s="1"/>
  <c r="E28" i="6" s="1"/>
  <c r="D55" i="1"/>
  <c r="B11" i="13"/>
  <c r="C56" i="1"/>
  <c r="C57" i="1" s="1"/>
  <c r="G10" i="7"/>
  <c r="F81" i="6" l="1"/>
  <c r="F80" i="6" s="1"/>
  <c r="F38" i="6" s="1"/>
  <c r="F13" i="6"/>
  <c r="F48" i="6" s="1"/>
  <c r="S19" i="1"/>
  <c r="S63" i="6"/>
  <c r="S58" i="6"/>
  <c r="F12" i="6"/>
  <c r="F47" i="6" s="1"/>
  <c r="G75" i="6"/>
  <c r="G79" i="6" s="1"/>
  <c r="F60" i="1" s="1"/>
  <c r="G76" i="6"/>
  <c r="G81" i="6" s="1"/>
  <c r="S41" i="1"/>
  <c r="S50" i="1" s="1"/>
  <c r="T58" i="6"/>
  <c r="T63" i="6"/>
  <c r="P56" i="6"/>
  <c r="E48" i="6"/>
  <c r="D48" i="6"/>
  <c r="G65" i="6"/>
  <c r="G70" i="6"/>
  <c r="G71" i="6" s="1"/>
  <c r="G60" i="6"/>
  <c r="G61" i="6" s="1"/>
  <c r="H4" i="6"/>
  <c r="G43" i="6"/>
  <c r="G13" i="6" s="1"/>
  <c r="D53" i="1"/>
  <c r="G11" i="13"/>
  <c r="E12" i="13" s="1"/>
  <c r="F12" i="13" s="1"/>
  <c r="E41" i="11" s="1"/>
  <c r="F28" i="6" s="1"/>
  <c r="G11" i="12"/>
  <c r="B12" i="12" s="1"/>
  <c r="C7" i="11"/>
  <c r="C24" i="11" s="1"/>
  <c r="C65" i="1"/>
  <c r="C58" i="1"/>
  <c r="D67" i="6" s="1"/>
  <c r="E12" i="14"/>
  <c r="E55" i="1" s="1"/>
  <c r="D14" i="11"/>
  <c r="E11" i="7"/>
  <c r="B11" i="7"/>
  <c r="D30" i="6"/>
  <c r="G80" i="6" l="1"/>
  <c r="G38" i="6" s="1"/>
  <c r="F34" i="11" s="1"/>
  <c r="E14" i="11"/>
  <c r="G12" i="6"/>
  <c r="G47" i="6" s="1"/>
  <c r="H75" i="6"/>
  <c r="H76" i="6"/>
  <c r="H81" i="6" s="1"/>
  <c r="G48" i="6"/>
  <c r="E15" i="11"/>
  <c r="C15" i="11"/>
  <c r="D15" i="11"/>
  <c r="H65" i="6"/>
  <c r="H70" i="6"/>
  <c r="H71" i="6" s="1"/>
  <c r="H60" i="6"/>
  <c r="H61" i="6" s="1"/>
  <c r="H43" i="6"/>
  <c r="H13" i="6" s="1"/>
  <c r="I4" i="6"/>
  <c r="E54" i="1"/>
  <c r="E12" i="12"/>
  <c r="F12" i="12" s="1"/>
  <c r="E40" i="11" s="1"/>
  <c r="F27" i="6" s="1"/>
  <c r="B12" i="13"/>
  <c r="G12" i="13" s="1"/>
  <c r="B13" i="13" s="1"/>
  <c r="C59" i="1"/>
  <c r="D77" i="6" s="1"/>
  <c r="C8" i="11"/>
  <c r="F12" i="14"/>
  <c r="E42" i="11" s="1"/>
  <c r="F29" i="6" s="1"/>
  <c r="D52" i="1"/>
  <c r="F11" i="7"/>
  <c r="D39" i="11" s="1"/>
  <c r="E26" i="6" s="1"/>
  <c r="H12" i="6" l="1"/>
  <c r="H47" i="6" s="1"/>
  <c r="D78" i="6"/>
  <c r="I75" i="6"/>
  <c r="I76" i="6"/>
  <c r="R63" i="6"/>
  <c r="I65" i="6"/>
  <c r="I66" i="6" s="1"/>
  <c r="I70" i="6"/>
  <c r="I71" i="6" s="1"/>
  <c r="E53" i="1"/>
  <c r="I60" i="6"/>
  <c r="I61" i="6" s="1"/>
  <c r="J4" i="6"/>
  <c r="I43" i="6"/>
  <c r="I13" i="6" s="1"/>
  <c r="F14" i="11"/>
  <c r="F15" i="11"/>
  <c r="G12" i="12"/>
  <c r="B13" i="12" s="1"/>
  <c r="E13" i="13"/>
  <c r="F13" i="13" s="1"/>
  <c r="F41" i="11" s="1"/>
  <c r="G28" i="6" s="1"/>
  <c r="G12" i="14"/>
  <c r="E13" i="14" s="1"/>
  <c r="F13" i="14" s="1"/>
  <c r="F42" i="11" s="1"/>
  <c r="G29" i="6" s="1"/>
  <c r="C6" i="11"/>
  <c r="C62" i="1"/>
  <c r="D56" i="1"/>
  <c r="D65" i="1" s="1"/>
  <c r="G11" i="7"/>
  <c r="D79" i="6" l="1"/>
  <c r="D81" i="6" s="1"/>
  <c r="C60" i="1"/>
  <c r="C61" i="1" s="1"/>
  <c r="I12" i="6"/>
  <c r="I47" i="6" s="1"/>
  <c r="J75" i="6"/>
  <c r="J76" i="6"/>
  <c r="H48" i="6"/>
  <c r="J65" i="6"/>
  <c r="J66" i="6" s="1"/>
  <c r="J70" i="6"/>
  <c r="J71" i="6" s="1"/>
  <c r="G14" i="11"/>
  <c r="J60" i="6"/>
  <c r="J61" i="6" s="1"/>
  <c r="K4" i="6"/>
  <c r="J43" i="6"/>
  <c r="J13" i="6" s="1"/>
  <c r="G15" i="11"/>
  <c r="F54" i="1"/>
  <c r="G13" i="13"/>
  <c r="E14" i="13" s="1"/>
  <c r="F14" i="13" s="1"/>
  <c r="G41" i="11" s="1"/>
  <c r="H28" i="6" s="1"/>
  <c r="E13" i="12"/>
  <c r="F13" i="12" s="1"/>
  <c r="G13" i="12" s="1"/>
  <c r="B14" i="12" s="1"/>
  <c r="F55" i="1"/>
  <c r="B13" i="14"/>
  <c r="G13" i="14" s="1"/>
  <c r="B14" i="14" s="1"/>
  <c r="D57" i="1"/>
  <c r="D58" i="1" s="1"/>
  <c r="D7" i="11"/>
  <c r="D24" i="11" s="1"/>
  <c r="E12" i="7"/>
  <c r="B12" i="7"/>
  <c r="E30" i="6"/>
  <c r="D80" i="6" l="1"/>
  <c r="D38" i="6" s="1"/>
  <c r="D23" i="6"/>
  <c r="D24" i="6" s="1"/>
  <c r="D50" i="6" s="1"/>
  <c r="Q10" i="11"/>
  <c r="J12" i="6"/>
  <c r="J47" i="6" s="1"/>
  <c r="K75" i="6"/>
  <c r="K76" i="6"/>
  <c r="K81" i="6" s="1"/>
  <c r="J48" i="6"/>
  <c r="I48" i="6"/>
  <c r="K65" i="6"/>
  <c r="K66" i="6" s="1"/>
  <c r="K70" i="6"/>
  <c r="K71" i="6" s="1"/>
  <c r="E67" i="6"/>
  <c r="G54" i="1"/>
  <c r="B14" i="13"/>
  <c r="G14" i="13" s="1"/>
  <c r="B15" i="13" s="1"/>
  <c r="H15" i="11"/>
  <c r="K60" i="6"/>
  <c r="K61" i="6" s="1"/>
  <c r="K43" i="6"/>
  <c r="K13" i="6" s="1"/>
  <c r="L4" i="6"/>
  <c r="H14" i="11"/>
  <c r="F53" i="1"/>
  <c r="F40" i="11"/>
  <c r="G27" i="6" s="1"/>
  <c r="E14" i="12"/>
  <c r="G53" i="1" s="1"/>
  <c r="E14" i="14"/>
  <c r="F14" i="14" s="1"/>
  <c r="D59" i="1"/>
  <c r="E77" i="6" s="1"/>
  <c r="D8" i="11"/>
  <c r="E52" i="1"/>
  <c r="F12" i="7"/>
  <c r="E39" i="11" s="1"/>
  <c r="F26" i="6" s="1"/>
  <c r="C34" i="11" l="1"/>
  <c r="C43" i="11" s="1"/>
  <c r="C66" i="1"/>
  <c r="K12" i="6"/>
  <c r="K47" i="6" s="1"/>
  <c r="E78" i="6"/>
  <c r="L75" i="6"/>
  <c r="L79" i="6" s="1"/>
  <c r="K60" i="1" s="1"/>
  <c r="L76" i="6"/>
  <c r="K48" i="6"/>
  <c r="L65" i="6"/>
  <c r="L66" i="6" s="1"/>
  <c r="L70" i="6"/>
  <c r="L71" i="6" s="1"/>
  <c r="E15" i="13"/>
  <c r="F15" i="13" s="1"/>
  <c r="H41" i="11" s="1"/>
  <c r="I28" i="6" s="1"/>
  <c r="I14" i="11"/>
  <c r="I15" i="11"/>
  <c r="L60" i="6"/>
  <c r="L61" i="6" s="1"/>
  <c r="M4" i="6"/>
  <c r="L43" i="6"/>
  <c r="L13" i="6" s="1"/>
  <c r="F14" i="12"/>
  <c r="G14" i="12" s="1"/>
  <c r="E15" i="12" s="1"/>
  <c r="H53" i="1" s="1"/>
  <c r="G14" i="14"/>
  <c r="E15" i="14" s="1"/>
  <c r="G42" i="11"/>
  <c r="H29" i="6" s="1"/>
  <c r="G55" i="1"/>
  <c r="E56" i="1"/>
  <c r="E7" i="11" s="1"/>
  <c r="D62" i="1"/>
  <c r="D6" i="11"/>
  <c r="G12" i="7"/>
  <c r="E79" i="6" l="1"/>
  <c r="D60" i="1" s="1"/>
  <c r="D61" i="1" s="1"/>
  <c r="E23" i="6" s="1"/>
  <c r="E24" i="6" s="1"/>
  <c r="L81" i="6"/>
  <c r="G40" i="11"/>
  <c r="H27" i="6" s="1"/>
  <c r="L12" i="6"/>
  <c r="L47" i="6" s="1"/>
  <c r="M75" i="6"/>
  <c r="M79" i="6" s="1"/>
  <c r="L60" i="1" s="1"/>
  <c r="M76" i="6"/>
  <c r="M81" i="6" s="1"/>
  <c r="L48" i="6"/>
  <c r="M65" i="6"/>
  <c r="M66" i="6" s="1"/>
  <c r="M70" i="6"/>
  <c r="M71" i="6" s="1"/>
  <c r="G15" i="13"/>
  <c r="B16" i="13" s="1"/>
  <c r="H54" i="1"/>
  <c r="J15" i="11"/>
  <c r="M60" i="6"/>
  <c r="M61" i="6" s="1"/>
  <c r="M43" i="6"/>
  <c r="M12" i="6" s="1"/>
  <c r="N4" i="6"/>
  <c r="J14" i="11"/>
  <c r="B15" i="14"/>
  <c r="F15" i="14"/>
  <c r="H42" i="11" s="1"/>
  <c r="I29" i="6" s="1"/>
  <c r="H55" i="1"/>
  <c r="F15" i="12"/>
  <c r="H40" i="11" s="1"/>
  <c r="B15" i="12"/>
  <c r="E65" i="1"/>
  <c r="E57" i="1"/>
  <c r="E58" i="1" s="1"/>
  <c r="E24" i="11"/>
  <c r="F30" i="6"/>
  <c r="E13" i="7"/>
  <c r="B13" i="7"/>
  <c r="E80" i="6" l="1"/>
  <c r="E38" i="6" s="1"/>
  <c r="E34" i="11" s="1"/>
  <c r="E43" i="11" s="1"/>
  <c r="D66" i="1"/>
  <c r="E50" i="6"/>
  <c r="M13" i="6"/>
  <c r="M48" i="6" s="1"/>
  <c r="M80" i="6"/>
  <c r="M38" i="6" s="1"/>
  <c r="I27" i="6"/>
  <c r="M47" i="6"/>
  <c r="N75" i="6"/>
  <c r="N76" i="6"/>
  <c r="N81" i="6" s="1"/>
  <c r="E16" i="13"/>
  <c r="F16" i="13" s="1"/>
  <c r="I41" i="11" s="1"/>
  <c r="J28" i="6" s="1"/>
  <c r="N65" i="6"/>
  <c r="N66" i="6" s="1"/>
  <c r="N70" i="6"/>
  <c r="N71" i="6" s="1"/>
  <c r="E8" i="11"/>
  <c r="F67" i="6"/>
  <c r="K14" i="11"/>
  <c r="K15" i="11"/>
  <c r="N60" i="6"/>
  <c r="N61" i="6" s="1"/>
  <c r="N43" i="6"/>
  <c r="N13" i="6" s="1"/>
  <c r="O4" i="6"/>
  <c r="G15" i="14"/>
  <c r="B16" i="14" s="1"/>
  <c r="G15" i="12"/>
  <c r="E16" i="12" s="1"/>
  <c r="I53" i="1" s="1"/>
  <c r="E59" i="1"/>
  <c r="F77" i="6" s="1"/>
  <c r="F52" i="1"/>
  <c r="F13" i="7"/>
  <c r="F39" i="11" s="1"/>
  <c r="G26" i="6" s="1"/>
  <c r="D34" i="11" l="1"/>
  <c r="D43" i="11" s="1"/>
  <c r="N12" i="6"/>
  <c r="N47" i="6" s="1"/>
  <c r="F78" i="6"/>
  <c r="O75" i="6"/>
  <c r="O76" i="6"/>
  <c r="E61" i="1"/>
  <c r="F23" i="6" s="1"/>
  <c r="F24" i="6" s="1"/>
  <c r="E66" i="1" s="1"/>
  <c r="N48" i="6"/>
  <c r="T43" i="6"/>
  <c r="S43" i="6"/>
  <c r="R43" i="6"/>
  <c r="Q43" i="6"/>
  <c r="I54" i="1"/>
  <c r="G16" i="13"/>
  <c r="B17" i="13" s="1"/>
  <c r="O65" i="6"/>
  <c r="O70" i="6"/>
  <c r="O60" i="6"/>
  <c r="O43" i="6"/>
  <c r="O13" i="6" s="1"/>
  <c r="T4" i="6"/>
  <c r="P4" i="6"/>
  <c r="S4" i="6"/>
  <c r="Q4" i="6"/>
  <c r="R4" i="6"/>
  <c r="L14" i="11"/>
  <c r="L15" i="11"/>
  <c r="B16" i="12"/>
  <c r="E16" i="14"/>
  <c r="F16" i="12"/>
  <c r="I40" i="11" s="1"/>
  <c r="J27" i="6" s="1"/>
  <c r="F43" i="11"/>
  <c r="F56" i="1"/>
  <c r="F65" i="1" s="1"/>
  <c r="E6" i="11"/>
  <c r="E62" i="1"/>
  <c r="P21" i="6"/>
  <c r="Q21" i="6" s="1"/>
  <c r="R21" i="6" s="1"/>
  <c r="S21" i="6" s="1"/>
  <c r="T21" i="6" s="1"/>
  <c r="G13" i="7"/>
  <c r="O12" i="6" l="1"/>
  <c r="O47" i="6" s="1"/>
  <c r="P47" i="6" s="1"/>
  <c r="P76" i="6"/>
  <c r="T76" i="6"/>
  <c r="S76" i="6"/>
  <c r="R76" i="6"/>
  <c r="Q76" i="6"/>
  <c r="P75" i="6"/>
  <c r="T75" i="6"/>
  <c r="S75" i="6"/>
  <c r="R75" i="6"/>
  <c r="Q75" i="6"/>
  <c r="F50" i="6"/>
  <c r="O48" i="6"/>
  <c r="P48" i="6" s="1"/>
  <c r="P60" i="6"/>
  <c r="T60" i="6"/>
  <c r="Q60" i="6"/>
  <c r="S60" i="6"/>
  <c r="R60" i="6"/>
  <c r="O61" i="6"/>
  <c r="T65" i="6"/>
  <c r="C66" i="6" s="1"/>
  <c r="D66" i="6" s="1"/>
  <c r="Q65" i="6"/>
  <c r="S65" i="6"/>
  <c r="R65" i="6"/>
  <c r="O66" i="6"/>
  <c r="P66" i="6" s="1"/>
  <c r="P65" i="6"/>
  <c r="T70" i="6"/>
  <c r="R70" i="6"/>
  <c r="Q70" i="6"/>
  <c r="S70" i="6"/>
  <c r="O71" i="6"/>
  <c r="P70" i="6"/>
  <c r="E17" i="13"/>
  <c r="J54" i="1" s="1"/>
  <c r="M15" i="11"/>
  <c r="P43" i="6"/>
  <c r="P13" i="6"/>
  <c r="Q13" i="6" s="1"/>
  <c r="R13" i="6" s="1"/>
  <c r="S13" i="6" s="1"/>
  <c r="T13" i="6" s="1"/>
  <c r="M14" i="11"/>
  <c r="F16" i="14"/>
  <c r="I55" i="1"/>
  <c r="G16" i="12"/>
  <c r="E17" i="12" s="1"/>
  <c r="J53" i="1" s="1"/>
  <c r="F57" i="1"/>
  <c r="F58" i="1" s="1"/>
  <c r="G67" i="6" s="1"/>
  <c r="F7" i="11"/>
  <c r="F24" i="11" s="1"/>
  <c r="G30" i="6"/>
  <c r="E14" i="7"/>
  <c r="B14" i="7"/>
  <c r="E66" i="6" l="1"/>
  <c r="D37" i="6"/>
  <c r="C25" i="11" s="1"/>
  <c r="P12" i="6"/>
  <c r="Q66" i="6"/>
  <c r="P61" i="6"/>
  <c r="T61" i="6"/>
  <c r="T34" i="6" s="1"/>
  <c r="S61" i="6"/>
  <c r="S34" i="6" s="1"/>
  <c r="R61" i="6"/>
  <c r="R34" i="6" s="1"/>
  <c r="Q61" i="6"/>
  <c r="S66" i="6"/>
  <c r="R66" i="6"/>
  <c r="T66" i="6"/>
  <c r="P71" i="6"/>
  <c r="T71" i="6"/>
  <c r="R71" i="6"/>
  <c r="Q71" i="6"/>
  <c r="S71" i="6"/>
  <c r="F17" i="13"/>
  <c r="J41" i="11" s="1"/>
  <c r="K28" i="6" s="1"/>
  <c r="N14" i="11"/>
  <c r="O14" i="11" s="1"/>
  <c r="N15" i="11"/>
  <c r="O15" i="11" s="1"/>
  <c r="G16" i="14"/>
  <c r="I42" i="11"/>
  <c r="J29" i="6" s="1"/>
  <c r="F17" i="12"/>
  <c r="J40" i="11" s="1"/>
  <c r="K27" i="6" s="1"/>
  <c r="B17" i="12"/>
  <c r="F59" i="1"/>
  <c r="G77" i="6" s="1"/>
  <c r="F8" i="11"/>
  <c r="G52" i="1"/>
  <c r="G56" i="1" s="1"/>
  <c r="F14" i="7"/>
  <c r="G39" i="11" s="1"/>
  <c r="H26" i="6" s="1"/>
  <c r="F66" i="6" l="1"/>
  <c r="E37" i="6"/>
  <c r="D25" i="11" s="1"/>
  <c r="Q12" i="6"/>
  <c r="R12" i="6" s="1"/>
  <c r="S12" i="6" s="1"/>
  <c r="T12" i="6" s="1"/>
  <c r="G78" i="6"/>
  <c r="F6" i="11"/>
  <c r="F61" i="1"/>
  <c r="G23" i="6" s="1"/>
  <c r="G24" i="6" s="1"/>
  <c r="G50" i="6" s="1"/>
  <c r="Q48" i="6"/>
  <c r="R19" i="11"/>
  <c r="S19" i="11"/>
  <c r="G17" i="13"/>
  <c r="E18" i="13" s="1"/>
  <c r="F18" i="13" s="1"/>
  <c r="K41" i="11" s="1"/>
  <c r="L28" i="6" s="1"/>
  <c r="P15" i="11"/>
  <c r="G17" i="12"/>
  <c r="E18" i="12" s="1"/>
  <c r="F18" i="12" s="1"/>
  <c r="K40" i="11" s="1"/>
  <c r="L27" i="6" s="1"/>
  <c r="B17" i="14"/>
  <c r="E17" i="14"/>
  <c r="F62" i="1"/>
  <c r="G65" i="1"/>
  <c r="G7" i="11"/>
  <c r="G57" i="1"/>
  <c r="G14" i="7"/>
  <c r="G66" i="6" l="1"/>
  <c r="F37" i="6"/>
  <c r="E25" i="11" s="1"/>
  <c r="R47" i="6"/>
  <c r="Q47" i="6"/>
  <c r="S47" i="6"/>
  <c r="R48" i="6"/>
  <c r="T47" i="6"/>
  <c r="Q15" i="11"/>
  <c r="K54" i="1"/>
  <c r="B18" i="13"/>
  <c r="G18" i="13" s="1"/>
  <c r="E19" i="13" s="1"/>
  <c r="K53" i="1"/>
  <c r="B18" i="12"/>
  <c r="G18" i="12" s="1"/>
  <c r="F17" i="14"/>
  <c r="J55" i="1"/>
  <c r="F66" i="1"/>
  <c r="G58" i="1"/>
  <c r="H67" i="6" s="1"/>
  <c r="G24" i="11"/>
  <c r="B15" i="7"/>
  <c r="E15" i="7"/>
  <c r="H30" i="6"/>
  <c r="H66" i="6" l="1"/>
  <c r="G37" i="6"/>
  <c r="F25" i="11" s="1"/>
  <c r="H37" i="6"/>
  <c r="T48" i="6"/>
  <c r="S48" i="6"/>
  <c r="R15" i="11"/>
  <c r="F19" i="13"/>
  <c r="L41" i="11" s="1"/>
  <c r="M28" i="6" s="1"/>
  <c r="L54" i="1"/>
  <c r="B19" i="13"/>
  <c r="J42" i="11"/>
  <c r="K29" i="6" s="1"/>
  <c r="G17" i="14"/>
  <c r="E19" i="12"/>
  <c r="B19" i="12"/>
  <c r="G59" i="1"/>
  <c r="H77" i="6" s="1"/>
  <c r="G8" i="11"/>
  <c r="H52" i="1"/>
  <c r="H56" i="1" s="1"/>
  <c r="F15" i="7"/>
  <c r="H39" i="11" s="1"/>
  <c r="I26" i="6" s="1"/>
  <c r="G25" i="11" l="1"/>
  <c r="H78" i="6"/>
  <c r="H79" i="6" s="1"/>
  <c r="G62" i="1"/>
  <c r="S15" i="11"/>
  <c r="G19" i="13"/>
  <c r="E20" i="13" s="1"/>
  <c r="F20" i="13" s="1"/>
  <c r="M41" i="11" s="1"/>
  <c r="N28" i="6" s="1"/>
  <c r="F19" i="12"/>
  <c r="L53" i="1"/>
  <c r="B18" i="14"/>
  <c r="E18" i="14"/>
  <c r="G6" i="11"/>
  <c r="H65" i="1"/>
  <c r="H7" i="11"/>
  <c r="H24" i="11" s="1"/>
  <c r="H57" i="1"/>
  <c r="H58" i="1" s="1"/>
  <c r="G15" i="7"/>
  <c r="H80" i="6" l="1"/>
  <c r="H38" i="6" s="1"/>
  <c r="G60" i="1"/>
  <c r="G61" i="1" s="1"/>
  <c r="H23" i="6" s="1"/>
  <c r="H24" i="6" s="1"/>
  <c r="G66" i="1" s="1"/>
  <c r="M54" i="1"/>
  <c r="B20" i="13"/>
  <c r="G20" i="13" s="1"/>
  <c r="E21" i="13" s="1"/>
  <c r="H8" i="11"/>
  <c r="I67" i="6"/>
  <c r="I37" i="6" s="1"/>
  <c r="F18" i="14"/>
  <c r="K55" i="1"/>
  <c r="L40" i="11"/>
  <c r="M27" i="6" s="1"/>
  <c r="G19" i="12"/>
  <c r="H59" i="1"/>
  <c r="I77" i="6" s="1"/>
  <c r="I78" i="6" s="1"/>
  <c r="I79" i="6" s="1"/>
  <c r="I81" i="6" s="1"/>
  <c r="B16" i="7"/>
  <c r="E16" i="7"/>
  <c r="I30" i="6"/>
  <c r="H50" i="6" l="1"/>
  <c r="G34" i="11"/>
  <c r="G43" i="11" s="1"/>
  <c r="I80" i="6"/>
  <c r="I38" i="6" s="1"/>
  <c r="H60" i="1"/>
  <c r="H61" i="1" s="1"/>
  <c r="I23" i="6" s="1"/>
  <c r="H25" i="11"/>
  <c r="E20" i="12"/>
  <c r="B20" i="12"/>
  <c r="K42" i="11"/>
  <c r="L29" i="6" s="1"/>
  <c r="G18" i="14"/>
  <c r="B21" i="13"/>
  <c r="F21" i="13"/>
  <c r="N41" i="11" s="1"/>
  <c r="O28" i="6" s="1"/>
  <c r="P28" i="6" s="1"/>
  <c r="N54" i="1"/>
  <c r="I52" i="1"/>
  <c r="I56" i="1" s="1"/>
  <c r="H6" i="11"/>
  <c r="H62" i="1"/>
  <c r="F16" i="7"/>
  <c r="I39" i="11" s="1"/>
  <c r="J26" i="6" s="1"/>
  <c r="H34" i="11" l="1"/>
  <c r="H43" i="11" s="1"/>
  <c r="I24" i="6"/>
  <c r="I50" i="6" s="1"/>
  <c r="B19" i="14"/>
  <c r="E19" i="14"/>
  <c r="F20" i="12"/>
  <c r="M53" i="1"/>
  <c r="G21" i="13"/>
  <c r="B22" i="13" s="1"/>
  <c r="O41" i="11"/>
  <c r="I65" i="1"/>
  <c r="I7" i="11"/>
  <c r="I24" i="11" s="1"/>
  <c r="I57" i="1"/>
  <c r="I58" i="1" s="1"/>
  <c r="G16" i="7"/>
  <c r="H66" i="1" l="1"/>
  <c r="I8" i="11"/>
  <c r="J67" i="6"/>
  <c r="M40" i="11"/>
  <c r="N27" i="6" s="1"/>
  <c r="G20" i="12"/>
  <c r="F19" i="14"/>
  <c r="L55" i="1"/>
  <c r="E22" i="13"/>
  <c r="F22" i="13" s="1"/>
  <c r="I59" i="1"/>
  <c r="E17" i="7"/>
  <c r="B17" i="7"/>
  <c r="J30" i="6"/>
  <c r="J77" i="6" l="1"/>
  <c r="J78" i="6" s="1"/>
  <c r="J79" i="6" s="1"/>
  <c r="L80" i="6" s="1"/>
  <c r="L38" i="6" s="1"/>
  <c r="L34" i="11" s="1"/>
  <c r="J37" i="6"/>
  <c r="I25" i="11" s="1"/>
  <c r="L42" i="11"/>
  <c r="M29" i="6" s="1"/>
  <c r="G19" i="14"/>
  <c r="B21" i="12"/>
  <c r="E21" i="12"/>
  <c r="G22" i="13"/>
  <c r="E23" i="13" s="1"/>
  <c r="F23" i="13" s="1"/>
  <c r="J52" i="1"/>
  <c r="J56" i="1" s="1"/>
  <c r="I62" i="1"/>
  <c r="I6" i="11"/>
  <c r="F17" i="7"/>
  <c r="J39" i="11" s="1"/>
  <c r="K26" i="6" s="1"/>
  <c r="J81" i="6" l="1"/>
  <c r="J80" i="6" s="1"/>
  <c r="I60" i="1"/>
  <c r="I61" i="1" s="1"/>
  <c r="J23" i="6" s="1"/>
  <c r="J24" i="6" s="1"/>
  <c r="J50" i="6" s="1"/>
  <c r="N53" i="1"/>
  <c r="F21" i="12"/>
  <c r="E20" i="14"/>
  <c r="B20" i="14"/>
  <c r="B23" i="13"/>
  <c r="G23" i="13" s="1"/>
  <c r="B24" i="13" s="1"/>
  <c r="J65" i="1"/>
  <c r="J7" i="11"/>
  <c r="J24" i="11" s="1"/>
  <c r="J57" i="1"/>
  <c r="J58" i="1" s="1"/>
  <c r="G17" i="7"/>
  <c r="J38" i="6" l="1"/>
  <c r="I66" i="1"/>
  <c r="J8" i="11"/>
  <c r="K67" i="6"/>
  <c r="F20" i="14"/>
  <c r="M55" i="1"/>
  <c r="N40" i="11"/>
  <c r="G21" i="12"/>
  <c r="E24" i="13"/>
  <c r="F24" i="13" s="1"/>
  <c r="J59" i="1"/>
  <c r="K30" i="6"/>
  <c r="E18" i="7"/>
  <c r="B18" i="7"/>
  <c r="I34" i="11" l="1"/>
  <c r="I43" i="11" s="1"/>
  <c r="K77" i="6"/>
  <c r="K78" i="6" s="1"/>
  <c r="K79" i="6" s="1"/>
  <c r="O40" i="11"/>
  <c r="O27" i="6"/>
  <c r="P27" i="6" s="1"/>
  <c r="K37" i="6"/>
  <c r="J25" i="11" s="1"/>
  <c r="B22" i="12"/>
  <c r="E22" i="12"/>
  <c r="F22" i="12" s="1"/>
  <c r="M42" i="11"/>
  <c r="N29" i="6" s="1"/>
  <c r="G20" i="14"/>
  <c r="G24" i="13"/>
  <c r="E25" i="13" s="1"/>
  <c r="F25" i="13" s="1"/>
  <c r="K52" i="1"/>
  <c r="K56" i="1" s="1"/>
  <c r="J62" i="1"/>
  <c r="J6" i="11"/>
  <c r="F18" i="7"/>
  <c r="K39" i="11" s="1"/>
  <c r="L26" i="6" s="1"/>
  <c r="J60" i="1" l="1"/>
  <c r="J61" i="1" s="1"/>
  <c r="K23" i="6" s="1"/>
  <c r="K24" i="6" s="1"/>
  <c r="K50" i="6" s="1"/>
  <c r="K80" i="6"/>
  <c r="K38" i="6" s="1"/>
  <c r="G22" i="12"/>
  <c r="B23" i="12" s="1"/>
  <c r="E21" i="14"/>
  <c r="B21" i="14"/>
  <c r="B25" i="13"/>
  <c r="G25" i="13" s="1"/>
  <c r="B26" i="13" s="1"/>
  <c r="K65" i="1"/>
  <c r="K7" i="11"/>
  <c r="K24" i="11" s="1"/>
  <c r="K57" i="1"/>
  <c r="K58" i="1" s="1"/>
  <c r="G18" i="7"/>
  <c r="J66" i="1" l="1"/>
  <c r="K34" i="11"/>
  <c r="K43" i="11" s="1"/>
  <c r="J34" i="11"/>
  <c r="J43" i="11" s="1"/>
  <c r="K8" i="11"/>
  <c r="L67" i="6"/>
  <c r="E23" i="12"/>
  <c r="F23" i="12" s="1"/>
  <c r="G23" i="12" s="1"/>
  <c r="F21" i="14"/>
  <c r="N55" i="1"/>
  <c r="E26" i="13"/>
  <c r="F26" i="13" s="1"/>
  <c r="G26" i="13" s="1"/>
  <c r="B27" i="13" s="1"/>
  <c r="K59" i="1"/>
  <c r="L30" i="6"/>
  <c r="B19" i="7"/>
  <c r="E19" i="7"/>
  <c r="K61" i="1" l="1"/>
  <c r="L23" i="6" s="1"/>
  <c r="L24" i="6" s="1"/>
  <c r="L50" i="6" s="1"/>
  <c r="L77" i="6"/>
  <c r="L78" i="6" s="1"/>
  <c r="L37" i="6"/>
  <c r="K25" i="11" s="1"/>
  <c r="N42" i="11"/>
  <c r="G21" i="14"/>
  <c r="E24" i="12"/>
  <c r="F24" i="12" s="1"/>
  <c r="B24" i="12"/>
  <c r="E27" i="13"/>
  <c r="F27" i="13" s="1"/>
  <c r="G27" i="13" s="1"/>
  <c r="E28" i="13" s="1"/>
  <c r="F28" i="13" s="1"/>
  <c r="L52" i="1"/>
  <c r="L56" i="1" s="1"/>
  <c r="F19" i="7"/>
  <c r="L39" i="11" s="1"/>
  <c r="M26" i="6" s="1"/>
  <c r="K6" i="11"/>
  <c r="K62" i="1"/>
  <c r="O42" i="11" l="1"/>
  <c r="O29" i="6"/>
  <c r="P29" i="6" s="1"/>
  <c r="G24" i="12"/>
  <c r="E22" i="14"/>
  <c r="F22" i="14" s="1"/>
  <c r="B22" i="14"/>
  <c r="B28" i="13"/>
  <c r="G28" i="13" s="1"/>
  <c r="B29" i="13" s="1"/>
  <c r="L43" i="11"/>
  <c r="L65" i="1"/>
  <c r="L7" i="11"/>
  <c r="L24" i="11" s="1"/>
  <c r="K66" i="1"/>
  <c r="L57" i="1"/>
  <c r="L58" i="1" s="1"/>
  <c r="G19" i="7"/>
  <c r="L8" i="11" l="1"/>
  <c r="M67" i="6"/>
  <c r="M37" i="6" s="1"/>
  <c r="G22" i="14"/>
  <c r="B23" i="14" s="1"/>
  <c r="E25" i="12"/>
  <c r="F25" i="12" s="1"/>
  <c r="B25" i="12"/>
  <c r="E29" i="13"/>
  <c r="F29" i="13" s="1"/>
  <c r="G29" i="13" s="1"/>
  <c r="B30" i="13" s="1"/>
  <c r="L59" i="1"/>
  <c r="B20" i="7"/>
  <c r="E20" i="7"/>
  <c r="M30" i="6"/>
  <c r="L61" i="1" l="1"/>
  <c r="M23" i="6" s="1"/>
  <c r="M24" i="6" s="1"/>
  <c r="M50" i="6" s="1"/>
  <c r="M77" i="6"/>
  <c r="M78" i="6" s="1"/>
  <c r="L25" i="11"/>
  <c r="E23" i="14"/>
  <c r="F23" i="14" s="1"/>
  <c r="G23" i="14" s="1"/>
  <c r="E24" i="14" s="1"/>
  <c r="F24" i="14" s="1"/>
  <c r="G25" i="12"/>
  <c r="E30" i="13"/>
  <c r="F30" i="13" s="1"/>
  <c r="G30" i="13" s="1"/>
  <c r="E31" i="13" s="1"/>
  <c r="F31" i="13" s="1"/>
  <c r="M52" i="1"/>
  <c r="M56" i="1" s="1"/>
  <c r="F20" i="7"/>
  <c r="M39" i="11" s="1"/>
  <c r="N26" i="6" s="1"/>
  <c r="L6" i="11"/>
  <c r="L62" i="1"/>
  <c r="B24" i="14" l="1"/>
  <c r="G24" i="14" s="1"/>
  <c r="E25" i="14" s="1"/>
  <c r="F25" i="14" s="1"/>
  <c r="E26" i="12"/>
  <c r="F26" i="12" s="1"/>
  <c r="B26" i="12"/>
  <c r="B31" i="13"/>
  <c r="G31" i="13" s="1"/>
  <c r="B32" i="13" s="1"/>
  <c r="M65" i="1"/>
  <c r="M7" i="11"/>
  <c r="M24" i="11" s="1"/>
  <c r="L66" i="1"/>
  <c r="M57" i="1"/>
  <c r="M58" i="1" s="1"/>
  <c r="G20" i="7"/>
  <c r="M8" i="11" l="1"/>
  <c r="N67" i="6"/>
  <c r="N37" i="6" s="1"/>
  <c r="G26" i="12"/>
  <c r="E27" i="12" s="1"/>
  <c r="F27" i="12" s="1"/>
  <c r="B25" i="14"/>
  <c r="G25" i="14" s="1"/>
  <c r="B26" i="14" s="1"/>
  <c r="E32" i="13"/>
  <c r="F32" i="13" s="1"/>
  <c r="G32" i="13" s="1"/>
  <c r="B33" i="13" s="1"/>
  <c r="M59" i="1"/>
  <c r="N30" i="6"/>
  <c r="E21" i="7"/>
  <c r="B21" i="7"/>
  <c r="N77" i="6" l="1"/>
  <c r="N78" i="6" s="1"/>
  <c r="N79" i="6" s="1"/>
  <c r="M25" i="11"/>
  <c r="B27" i="12"/>
  <c r="G27" i="12" s="1"/>
  <c r="E26" i="14"/>
  <c r="F26" i="14" s="1"/>
  <c r="G26" i="14" s="1"/>
  <c r="B27" i="14" s="1"/>
  <c r="E33" i="13"/>
  <c r="P54" i="1" s="1"/>
  <c r="N52" i="1"/>
  <c r="N56" i="1" s="1"/>
  <c r="O55" i="1"/>
  <c r="O54" i="1"/>
  <c r="O53" i="1"/>
  <c r="M6" i="11"/>
  <c r="M62" i="1"/>
  <c r="F21" i="7"/>
  <c r="N39" i="11" s="1"/>
  <c r="O26" i="6" s="1"/>
  <c r="M60" i="1" l="1"/>
  <c r="M61" i="1" s="1"/>
  <c r="N23" i="6" s="1"/>
  <c r="N24" i="6" s="1"/>
  <c r="N50" i="6" s="1"/>
  <c r="N80" i="6"/>
  <c r="N38" i="6" s="1"/>
  <c r="E28" i="12"/>
  <c r="F28" i="12" s="1"/>
  <c r="B28" i="12"/>
  <c r="E27" i="14"/>
  <c r="F27" i="14" s="1"/>
  <c r="G27" i="14" s="1"/>
  <c r="E28" i="14" s="1"/>
  <c r="F28" i="14" s="1"/>
  <c r="F33" i="13"/>
  <c r="G33" i="13" s="1"/>
  <c r="E34" i="13" s="1"/>
  <c r="F34" i="13" s="1"/>
  <c r="N65" i="1"/>
  <c r="N7" i="11"/>
  <c r="O7" i="11" s="1"/>
  <c r="M66" i="1"/>
  <c r="N57" i="1"/>
  <c r="N58" i="1" s="1"/>
  <c r="G21" i="7"/>
  <c r="O52" i="1"/>
  <c r="O56" i="1" s="1"/>
  <c r="M34" i="11" l="1"/>
  <c r="M43" i="11" s="1"/>
  <c r="N8" i="11"/>
  <c r="O8" i="11" s="1"/>
  <c r="O67" i="6"/>
  <c r="O37" i="6" s="1"/>
  <c r="P37" i="6" s="1"/>
  <c r="P41" i="11"/>
  <c r="Q28" i="6" s="1"/>
  <c r="G28" i="12"/>
  <c r="B29" i="12" s="1"/>
  <c r="B28" i="14"/>
  <c r="G28" i="14" s="1"/>
  <c r="B34" i="13"/>
  <c r="G34" i="13" s="1"/>
  <c r="B35" i="13" s="1"/>
  <c r="O39" i="11"/>
  <c r="O65" i="1"/>
  <c r="N59" i="1"/>
  <c r="O57" i="1"/>
  <c r="O58" i="1"/>
  <c r="P67" i="6" s="1"/>
  <c r="N24" i="11"/>
  <c r="O24" i="11" s="1"/>
  <c r="E22" i="7"/>
  <c r="B22" i="7"/>
  <c r="P26" i="6"/>
  <c r="O77" i="6" l="1"/>
  <c r="O78" i="6" s="1"/>
  <c r="O79" i="6" s="1"/>
  <c r="N25" i="11"/>
  <c r="O25" i="11" s="1"/>
  <c r="E29" i="12"/>
  <c r="F29" i="12" s="1"/>
  <c r="G29" i="12" s="1"/>
  <c r="E30" i="12" s="1"/>
  <c r="F30" i="12" s="1"/>
  <c r="E29" i="14"/>
  <c r="F29" i="14" s="1"/>
  <c r="B29" i="14"/>
  <c r="E35" i="13"/>
  <c r="F35" i="13" s="1"/>
  <c r="O59" i="1"/>
  <c r="P77" i="6" s="1"/>
  <c r="P30" i="6"/>
  <c r="O30" i="6"/>
  <c r="N6" i="11"/>
  <c r="N62" i="1"/>
  <c r="F22" i="7"/>
  <c r="O81" i="6" l="1"/>
  <c r="O80" i="6" s="1"/>
  <c r="N60" i="1"/>
  <c r="N61" i="1" s="1"/>
  <c r="O23" i="6" s="1"/>
  <c r="P23" i="6" s="1"/>
  <c r="P78" i="6"/>
  <c r="P79" i="6"/>
  <c r="O62" i="1"/>
  <c r="B30" i="12"/>
  <c r="G30" i="12" s="1"/>
  <c r="E31" i="12" s="1"/>
  <c r="F31" i="12" s="1"/>
  <c r="G29" i="14"/>
  <c r="E30" i="14" s="1"/>
  <c r="F30" i="14" s="1"/>
  <c r="G35" i="13"/>
  <c r="E36" i="13" s="1"/>
  <c r="F36" i="13" s="1"/>
  <c r="G22" i="7"/>
  <c r="O6" i="11"/>
  <c r="O60" i="1" l="1"/>
  <c r="O61" i="1" s="1"/>
  <c r="O24" i="6"/>
  <c r="O50" i="6" s="1"/>
  <c r="P24" i="6"/>
  <c r="P50" i="6" s="1"/>
  <c r="P80" i="6"/>
  <c r="O38" i="6"/>
  <c r="B31" i="12"/>
  <c r="G31" i="12" s="1"/>
  <c r="E32" i="12" s="1"/>
  <c r="F32" i="12" s="1"/>
  <c r="B30" i="14"/>
  <c r="G30" i="14" s="1"/>
  <c r="B36" i="13"/>
  <c r="G36" i="13" s="1"/>
  <c r="E37" i="13" s="1"/>
  <c r="F37" i="13" s="1"/>
  <c r="E23" i="7"/>
  <c r="B23" i="7"/>
  <c r="N66" i="1" l="1"/>
  <c r="O66" i="1"/>
  <c r="P38" i="6"/>
  <c r="N34" i="11"/>
  <c r="B32" i="12"/>
  <c r="G32" i="12" s="1"/>
  <c r="B31" i="14"/>
  <c r="E31" i="14"/>
  <c r="F31" i="14" s="1"/>
  <c r="B37" i="13"/>
  <c r="G37" i="13" s="1"/>
  <c r="B38" i="13" s="1"/>
  <c r="F23" i="7"/>
  <c r="N43" i="11" l="1"/>
  <c r="O34" i="11"/>
  <c r="O43" i="11" s="1"/>
  <c r="B33" i="12"/>
  <c r="E33" i="12"/>
  <c r="G31" i="14"/>
  <c r="E38" i="13"/>
  <c r="F38" i="13" s="1"/>
  <c r="G38" i="13" s="1"/>
  <c r="B39" i="13" s="1"/>
  <c r="G23" i="7"/>
  <c r="P53" i="1" l="1"/>
  <c r="F33" i="12"/>
  <c r="E32" i="14"/>
  <c r="F32" i="14" s="1"/>
  <c r="B32" i="14"/>
  <c r="E39" i="13"/>
  <c r="F39" i="13" s="1"/>
  <c r="G39" i="13" s="1"/>
  <c r="B40" i="13" s="1"/>
  <c r="E24" i="7"/>
  <c r="B24" i="7"/>
  <c r="G33" i="12" l="1"/>
  <c r="P40" i="11"/>
  <c r="Q27" i="6" s="1"/>
  <c r="E40" i="13"/>
  <c r="F40" i="13" s="1"/>
  <c r="G40" i="13" s="1"/>
  <c r="E41" i="13" s="1"/>
  <c r="F41" i="13" s="1"/>
  <c r="G32" i="14"/>
  <c r="F24" i="7"/>
  <c r="B34" i="12" l="1"/>
  <c r="E34" i="12"/>
  <c r="F34" i="12" s="1"/>
  <c r="B33" i="14"/>
  <c r="E33" i="14"/>
  <c r="B41" i="13"/>
  <c r="G41" i="13" s="1"/>
  <c r="B42" i="13" s="1"/>
  <c r="G24" i="7"/>
  <c r="G34" i="12" l="1"/>
  <c r="B35" i="12" s="1"/>
  <c r="P55" i="1"/>
  <c r="F33" i="14"/>
  <c r="E42" i="13"/>
  <c r="F42" i="13" s="1"/>
  <c r="G42" i="13" s="1"/>
  <c r="E43" i="13" s="1"/>
  <c r="F43" i="13" s="1"/>
  <c r="E25" i="7"/>
  <c r="B25" i="7"/>
  <c r="E35" i="12" l="1"/>
  <c r="F35" i="12" s="1"/>
  <c r="G35" i="12" s="1"/>
  <c r="B36" i="12" s="1"/>
  <c r="G33" i="14"/>
  <c r="P42" i="11"/>
  <c r="Q29" i="6" s="1"/>
  <c r="B43" i="13"/>
  <c r="G43" i="13" s="1"/>
  <c r="B44" i="13" s="1"/>
  <c r="F25" i="7"/>
  <c r="E36" i="12" l="1"/>
  <c r="F36" i="12" s="1"/>
  <c r="G36" i="12" s="1"/>
  <c r="B37" i="12" s="1"/>
  <c r="E34" i="14"/>
  <c r="F34" i="14" s="1"/>
  <c r="B34" i="14"/>
  <c r="E44" i="13"/>
  <c r="F44" i="13" s="1"/>
  <c r="G44" i="13" s="1"/>
  <c r="E45" i="13" s="1"/>
  <c r="G25" i="7"/>
  <c r="E37" i="12" l="1"/>
  <c r="F37" i="12" s="1"/>
  <c r="G37" i="12" s="1"/>
  <c r="B38" i="12" s="1"/>
  <c r="G34" i="14"/>
  <c r="F45" i="13"/>
  <c r="Q41" i="11" s="1"/>
  <c r="R28" i="6" s="1"/>
  <c r="Q54" i="1"/>
  <c r="B45" i="13"/>
  <c r="E26" i="7"/>
  <c r="B26" i="7"/>
  <c r="E38" i="12" l="1"/>
  <c r="F38" i="12" s="1"/>
  <c r="G38" i="12" s="1"/>
  <c r="B39" i="12" s="1"/>
  <c r="E35" i="14"/>
  <c r="F35" i="14" s="1"/>
  <c r="B35" i="14"/>
  <c r="G45" i="13"/>
  <c r="B46" i="13" s="1"/>
  <c r="F26" i="7"/>
  <c r="E39" i="12" l="1"/>
  <c r="F39" i="12" s="1"/>
  <c r="G39" i="12" s="1"/>
  <c r="B40" i="12" s="1"/>
  <c r="G35" i="14"/>
  <c r="B36" i="14" s="1"/>
  <c r="E46" i="13"/>
  <c r="F46" i="13" s="1"/>
  <c r="G26" i="7"/>
  <c r="E40" i="12" l="1"/>
  <c r="F40" i="12" s="1"/>
  <c r="G40" i="12" s="1"/>
  <c r="B41" i="12" s="1"/>
  <c r="E36" i="14"/>
  <c r="F36" i="14" s="1"/>
  <c r="G36" i="14" s="1"/>
  <c r="E37" i="14" s="1"/>
  <c r="F37" i="14" s="1"/>
  <c r="G46" i="13"/>
  <c r="E47" i="13" s="1"/>
  <c r="F47" i="13" s="1"/>
  <c r="E27" i="7"/>
  <c r="F27" i="7" s="1"/>
  <c r="B27" i="7"/>
  <c r="E41" i="12" l="1"/>
  <c r="F41" i="12" s="1"/>
  <c r="G41" i="12" s="1"/>
  <c r="B42" i="12" s="1"/>
  <c r="B37" i="14"/>
  <c r="G37" i="14" s="1"/>
  <c r="B47" i="13"/>
  <c r="G47" i="13" s="1"/>
  <c r="B48" i="13" s="1"/>
  <c r="G27" i="7"/>
  <c r="E28" i="7" s="1"/>
  <c r="F28" i="7" s="1"/>
  <c r="E42" i="12" l="1"/>
  <c r="F42" i="12" s="1"/>
  <c r="G42" i="12" s="1"/>
  <c r="B43" i="12" s="1"/>
  <c r="B38" i="14"/>
  <c r="E38" i="14"/>
  <c r="F38" i="14" s="1"/>
  <c r="E48" i="13"/>
  <c r="F48" i="13" s="1"/>
  <c r="G48" i="13" s="1"/>
  <c r="B28" i="7"/>
  <c r="G28" i="7" s="1"/>
  <c r="E29" i="7" s="1"/>
  <c r="F29" i="7" s="1"/>
  <c r="G38" i="14" l="1"/>
  <c r="B39" i="14" s="1"/>
  <c r="E43" i="12"/>
  <c r="F43" i="12" s="1"/>
  <c r="G43" i="12" s="1"/>
  <c r="E44" i="12" s="1"/>
  <c r="F44" i="12" s="1"/>
  <c r="E49" i="13"/>
  <c r="F49" i="13" s="1"/>
  <c r="B49" i="13"/>
  <c r="B29" i="7"/>
  <c r="G29" i="7" s="1"/>
  <c r="E39" i="14" l="1"/>
  <c r="F39" i="14" s="1"/>
  <c r="G39" i="14" s="1"/>
  <c r="B44" i="12"/>
  <c r="G44" i="12" s="1"/>
  <c r="E45" i="12" s="1"/>
  <c r="G49" i="13"/>
  <c r="E30" i="7"/>
  <c r="F30" i="7" s="1"/>
  <c r="B30" i="7"/>
  <c r="B45" i="12" l="1"/>
  <c r="Q53" i="1"/>
  <c r="F45" i="12"/>
  <c r="B40" i="14"/>
  <c r="E40" i="14"/>
  <c r="F40" i="14" s="1"/>
  <c r="B50" i="13"/>
  <c r="E50" i="13"/>
  <c r="F50" i="13" s="1"/>
  <c r="G30" i="7"/>
  <c r="G40" i="14" l="1"/>
  <c r="E41" i="14" s="1"/>
  <c r="F41" i="14" s="1"/>
  <c r="G45" i="12"/>
  <c r="Q40" i="11"/>
  <c r="R27" i="6" s="1"/>
  <c r="G50" i="13"/>
  <c r="B51" i="13" s="1"/>
  <c r="E31" i="7"/>
  <c r="F31" i="7" s="1"/>
  <c r="B31" i="7"/>
  <c r="B41" i="14" l="1"/>
  <c r="G41" i="14" s="1"/>
  <c r="B42" i="14" s="1"/>
  <c r="E46" i="12"/>
  <c r="F46" i="12" s="1"/>
  <c r="B46" i="12"/>
  <c r="E51" i="13"/>
  <c r="F51" i="13" s="1"/>
  <c r="G51" i="13" s="1"/>
  <c r="B52" i="13" s="1"/>
  <c r="G31" i="7"/>
  <c r="E32" i="7" s="1"/>
  <c r="F32" i="7" s="1"/>
  <c r="G46" i="12" l="1"/>
  <c r="E42" i="14"/>
  <c r="F42" i="14" s="1"/>
  <c r="G42" i="14" s="1"/>
  <c r="E43" i="14" s="1"/>
  <c r="F43" i="14" s="1"/>
  <c r="E52" i="13"/>
  <c r="F52" i="13" s="1"/>
  <c r="G52" i="13" s="1"/>
  <c r="B53" i="13" s="1"/>
  <c r="B32" i="7"/>
  <c r="G32" i="7" s="1"/>
  <c r="E33" i="7" s="1"/>
  <c r="P52" i="1" s="1"/>
  <c r="E47" i="12" l="1"/>
  <c r="F47" i="12" s="1"/>
  <c r="B47" i="12"/>
  <c r="B43" i="14"/>
  <c r="G43" i="14" s="1"/>
  <c r="E53" i="13"/>
  <c r="F53" i="13" s="1"/>
  <c r="G53" i="13" s="1"/>
  <c r="B54" i="13" s="1"/>
  <c r="B33" i="7"/>
  <c r="F33" i="7"/>
  <c r="G47" i="12" l="1"/>
  <c r="B44" i="14"/>
  <c r="E44" i="14"/>
  <c r="F44" i="14" s="1"/>
  <c r="E54" i="13"/>
  <c r="F54" i="13" s="1"/>
  <c r="G54" i="13" s="1"/>
  <c r="B55" i="13" s="1"/>
  <c r="P39" i="11"/>
  <c r="Q26" i="6" s="1"/>
  <c r="P56" i="1"/>
  <c r="G33" i="7"/>
  <c r="E48" i="12" l="1"/>
  <c r="F48" i="12" s="1"/>
  <c r="B48" i="12"/>
  <c r="G44" i="14"/>
  <c r="E55" i="13"/>
  <c r="F55" i="13" s="1"/>
  <c r="G55" i="13" s="1"/>
  <c r="E56" i="13" s="1"/>
  <c r="F56" i="13" s="1"/>
  <c r="P65" i="1"/>
  <c r="P7" i="11"/>
  <c r="P24" i="11" s="1"/>
  <c r="P57" i="1"/>
  <c r="Q30" i="6"/>
  <c r="E34" i="7"/>
  <c r="B34" i="7"/>
  <c r="G48" i="12" l="1"/>
  <c r="E45" i="14"/>
  <c r="B45" i="14"/>
  <c r="B56" i="13"/>
  <c r="G56" i="13" s="1"/>
  <c r="B57" i="13" s="1"/>
  <c r="P58" i="1"/>
  <c r="Q67" i="6" s="1"/>
  <c r="Q37" i="6" s="1"/>
  <c r="F34" i="7"/>
  <c r="B49" i="12" l="1"/>
  <c r="E49" i="12"/>
  <c r="F49" i="12" s="1"/>
  <c r="Q55" i="1"/>
  <c r="F45" i="14"/>
  <c r="E57" i="13"/>
  <c r="F57" i="13" s="1"/>
  <c r="P59" i="1"/>
  <c r="P8" i="11"/>
  <c r="P25" i="11" s="1"/>
  <c r="G34" i="7"/>
  <c r="Q77" i="6" l="1"/>
  <c r="G49" i="12"/>
  <c r="B50" i="12" s="1"/>
  <c r="R54" i="1"/>
  <c r="G45" i="14"/>
  <c r="Q42" i="11"/>
  <c r="R29" i="6" s="1"/>
  <c r="R41" i="11"/>
  <c r="S28" i="6" s="1"/>
  <c r="G57" i="13"/>
  <c r="E35" i="7"/>
  <c r="B35" i="7"/>
  <c r="Q80" i="6" l="1"/>
  <c r="Q38" i="6" s="1"/>
  <c r="Q78" i="6"/>
  <c r="Q79" i="6" s="1"/>
  <c r="P60" i="1" s="1"/>
  <c r="P61" i="1" s="1"/>
  <c r="Q23" i="6" s="1"/>
  <c r="E50" i="12"/>
  <c r="F50" i="12" s="1"/>
  <c r="G50" i="12" s="1"/>
  <c r="E51" i="12" s="1"/>
  <c r="F51" i="12" s="1"/>
  <c r="B46" i="14"/>
  <c r="E46" i="14"/>
  <c r="F46" i="14" s="1"/>
  <c r="E58" i="13"/>
  <c r="F58" i="13" s="1"/>
  <c r="B58" i="13"/>
  <c r="F35" i="7"/>
  <c r="P34" i="11" l="1"/>
  <c r="P43" i="11" s="1"/>
  <c r="G46" i="14"/>
  <c r="E47" i="14" s="1"/>
  <c r="F47" i="14" s="1"/>
  <c r="B51" i="12"/>
  <c r="G51" i="12" s="1"/>
  <c r="E52" i="12" s="1"/>
  <c r="F52" i="12" s="1"/>
  <c r="G58" i="13"/>
  <c r="G35" i="7"/>
  <c r="B47" i="14" l="1"/>
  <c r="G47" i="14" s="1"/>
  <c r="B48" i="14" s="1"/>
  <c r="B52" i="12"/>
  <c r="G52" i="12" s="1"/>
  <c r="E53" i="12" s="1"/>
  <c r="F53" i="12" s="1"/>
  <c r="E59" i="13"/>
  <c r="F59" i="13" s="1"/>
  <c r="B59" i="13"/>
  <c r="E36" i="7"/>
  <c r="B36" i="7"/>
  <c r="E48" i="14" l="1"/>
  <c r="F48" i="14" s="1"/>
  <c r="G48" i="14" s="1"/>
  <c r="E49" i="14" s="1"/>
  <c r="F49" i="14" s="1"/>
  <c r="B53" i="12"/>
  <c r="G53" i="12" s="1"/>
  <c r="G59" i="13"/>
  <c r="E60" i="13" s="1"/>
  <c r="F60" i="13" s="1"/>
  <c r="F36" i="7"/>
  <c r="B49" i="14" l="1"/>
  <c r="G49" i="14" s="1"/>
  <c r="B50" i="14" s="1"/>
  <c r="E54" i="12"/>
  <c r="F54" i="12" s="1"/>
  <c r="B54" i="12"/>
  <c r="B60" i="13"/>
  <c r="G60" i="13" s="1"/>
  <c r="E61" i="13" s="1"/>
  <c r="F61" i="13" s="1"/>
  <c r="G36" i="7"/>
  <c r="G54" i="12" l="1"/>
  <c r="E50" i="14"/>
  <c r="F50" i="14" s="1"/>
  <c r="G50" i="14" s="1"/>
  <c r="B51" i="14" s="1"/>
  <c r="B61" i="13"/>
  <c r="G61" i="13" s="1"/>
  <c r="E37" i="7"/>
  <c r="B37" i="7"/>
  <c r="E55" i="12" l="1"/>
  <c r="F55" i="12" s="1"/>
  <c r="B55" i="12"/>
  <c r="E51" i="14"/>
  <c r="F51" i="14" s="1"/>
  <c r="G51" i="14" s="1"/>
  <c r="B52" i="14" s="1"/>
  <c r="B62" i="13"/>
  <c r="E62" i="13"/>
  <c r="F62" i="13" s="1"/>
  <c r="F37" i="7"/>
  <c r="G55" i="12" l="1"/>
  <c r="B56" i="12" s="1"/>
  <c r="E52" i="14"/>
  <c r="F52" i="14" s="1"/>
  <c r="G52" i="14" s="1"/>
  <c r="B53" i="14" s="1"/>
  <c r="G62" i="13"/>
  <c r="B63" i="13" s="1"/>
  <c r="G37" i="7"/>
  <c r="E56" i="12" l="1"/>
  <c r="F56" i="12" s="1"/>
  <c r="G56" i="12" s="1"/>
  <c r="B57" i="12" s="1"/>
  <c r="E53" i="14"/>
  <c r="F53" i="14" s="1"/>
  <c r="G53" i="14" s="1"/>
  <c r="B54" i="14" s="1"/>
  <c r="E63" i="13"/>
  <c r="F63" i="13" s="1"/>
  <c r="G63" i="13" s="1"/>
  <c r="B64" i="13" s="1"/>
  <c r="E38" i="7"/>
  <c r="B38" i="7"/>
  <c r="E57" i="12" l="1"/>
  <c r="R53" i="1" s="1"/>
  <c r="E54" i="14"/>
  <c r="F54" i="14" s="1"/>
  <c r="G54" i="14" s="1"/>
  <c r="B55" i="14" s="1"/>
  <c r="E64" i="13"/>
  <c r="F64" i="13" s="1"/>
  <c r="G64" i="13" s="1"/>
  <c r="E65" i="13" s="1"/>
  <c r="F65" i="13" s="1"/>
  <c r="F38" i="7"/>
  <c r="F57" i="12" l="1"/>
  <c r="G57" i="12" s="1"/>
  <c r="E55" i="14"/>
  <c r="F55" i="14" s="1"/>
  <c r="G55" i="14" s="1"/>
  <c r="E56" i="14" s="1"/>
  <c r="F56" i="14" s="1"/>
  <c r="B65" i="13"/>
  <c r="G65" i="13" s="1"/>
  <c r="B66" i="13" s="1"/>
  <c r="G38" i="7"/>
  <c r="R40" i="11" l="1"/>
  <c r="S27" i="6" s="1"/>
  <c r="E58" i="12"/>
  <c r="F58" i="12" s="1"/>
  <c r="B58" i="12"/>
  <c r="B56" i="14"/>
  <c r="G56" i="14" s="1"/>
  <c r="E66" i="13"/>
  <c r="F66" i="13" s="1"/>
  <c r="G66" i="13" s="1"/>
  <c r="B67" i="13" s="1"/>
  <c r="E39" i="7"/>
  <c r="F39" i="7" s="1"/>
  <c r="B39" i="7"/>
  <c r="G58" i="12" l="1"/>
  <c r="E59" i="12" s="1"/>
  <c r="F59" i="12" s="1"/>
  <c r="E57" i="14"/>
  <c r="B57" i="14"/>
  <c r="E67" i="13"/>
  <c r="F67" i="13" s="1"/>
  <c r="G67" i="13" s="1"/>
  <c r="B68" i="13" s="1"/>
  <c r="G39" i="7"/>
  <c r="E40" i="7" s="1"/>
  <c r="F40" i="7" s="1"/>
  <c r="B59" i="12" l="1"/>
  <c r="G59" i="12" s="1"/>
  <c r="E60" i="12" s="1"/>
  <c r="F60" i="12" s="1"/>
  <c r="R55" i="1"/>
  <c r="F57" i="14"/>
  <c r="E68" i="13"/>
  <c r="F68" i="13" s="1"/>
  <c r="G68" i="13" s="1"/>
  <c r="B40" i="7"/>
  <c r="G40" i="7" s="1"/>
  <c r="E41" i="7" s="1"/>
  <c r="F41" i="7" s="1"/>
  <c r="B60" i="12" l="1"/>
  <c r="G60" i="12" s="1"/>
  <c r="G57" i="14"/>
  <c r="R42" i="11"/>
  <c r="S29" i="6" s="1"/>
  <c r="B69" i="13"/>
  <c r="E69" i="13"/>
  <c r="B41" i="7"/>
  <c r="G41" i="7" s="1"/>
  <c r="E61" i="12" l="1"/>
  <c r="F61" i="12" s="1"/>
  <c r="B61" i="12"/>
  <c r="B58" i="14"/>
  <c r="E58" i="14"/>
  <c r="F58" i="14" s="1"/>
  <c r="S54" i="1"/>
  <c r="F69" i="13"/>
  <c r="E42" i="7"/>
  <c r="F42" i="7" s="1"/>
  <c r="B42" i="7"/>
  <c r="G61" i="12" l="1"/>
  <c r="B62" i="12" s="1"/>
  <c r="G58" i="14"/>
  <c r="E59" i="14" s="1"/>
  <c r="F59" i="14" s="1"/>
  <c r="G69" i="13"/>
  <c r="S41" i="11"/>
  <c r="T28" i="6" s="1"/>
  <c r="G42" i="7"/>
  <c r="E43" i="7" s="1"/>
  <c r="F43" i="7" s="1"/>
  <c r="B59" i="14" l="1"/>
  <c r="G59" i="14" s="1"/>
  <c r="B60" i="14" s="1"/>
  <c r="E62" i="12"/>
  <c r="F62" i="12" s="1"/>
  <c r="G62" i="12" s="1"/>
  <c r="B63" i="12" s="1"/>
  <c r="B70" i="13"/>
  <c r="E70" i="13"/>
  <c r="F70" i="13" s="1"/>
  <c r="B43" i="7"/>
  <c r="G43" i="7" s="1"/>
  <c r="B44" i="7" s="1"/>
  <c r="E63" i="12" l="1"/>
  <c r="F63" i="12" s="1"/>
  <c r="G63" i="12" s="1"/>
  <c r="E64" i="12" s="1"/>
  <c r="F64" i="12" s="1"/>
  <c r="E60" i="14"/>
  <c r="F60" i="14" s="1"/>
  <c r="G60" i="14" s="1"/>
  <c r="G70" i="13"/>
  <c r="E44" i="7"/>
  <c r="F44" i="7" s="1"/>
  <c r="G44" i="7" s="1"/>
  <c r="E45" i="7" s="1"/>
  <c r="Q52" i="1" s="1"/>
  <c r="B61" i="14" l="1"/>
  <c r="E61" i="14"/>
  <c r="F61" i="14" s="1"/>
  <c r="B71" i="13"/>
  <c r="E71" i="13"/>
  <c r="F71" i="13" s="1"/>
  <c r="B64" i="12"/>
  <c r="G64" i="12" s="1"/>
  <c r="B65" i="12" s="1"/>
  <c r="F45" i="7"/>
  <c r="B45" i="7"/>
  <c r="G61" i="14" l="1"/>
  <c r="E62" i="14" s="1"/>
  <c r="F62" i="14" s="1"/>
  <c r="G71" i="13"/>
  <c r="E72" i="13" s="1"/>
  <c r="F72" i="13" s="1"/>
  <c r="Q39" i="11"/>
  <c r="E65" i="12"/>
  <c r="F65" i="12" s="1"/>
  <c r="G65" i="12" s="1"/>
  <c r="G45" i="7"/>
  <c r="E46" i="7" s="1"/>
  <c r="Q56" i="1"/>
  <c r="R26" i="6" l="1"/>
  <c r="B62" i="14"/>
  <c r="G62" i="14" s="1"/>
  <c r="B63" i="14" s="1"/>
  <c r="B72" i="13"/>
  <c r="G72" i="13" s="1"/>
  <c r="Q65" i="1"/>
  <c r="Q7" i="11"/>
  <c r="Q24" i="11" s="1"/>
  <c r="Q57" i="1"/>
  <c r="B46" i="7"/>
  <c r="E66" i="12"/>
  <c r="F66" i="12" s="1"/>
  <c r="B66" i="12"/>
  <c r="F46" i="7"/>
  <c r="R30" i="6" l="1"/>
  <c r="E63" i="14"/>
  <c r="F63" i="14" s="1"/>
  <c r="G63" i="14" s="1"/>
  <c r="B73" i="13"/>
  <c r="E73" i="13"/>
  <c r="F73" i="13" s="1"/>
  <c r="Q58" i="1"/>
  <c r="R67" i="6" s="1"/>
  <c r="R37" i="6" s="1"/>
  <c r="G66" i="12"/>
  <c r="E67" i="12" s="1"/>
  <c r="F67" i="12" s="1"/>
  <c r="G46" i="7"/>
  <c r="B64" i="14" l="1"/>
  <c r="E64" i="14"/>
  <c r="F64" i="14" s="1"/>
  <c r="G73" i="13"/>
  <c r="E74" i="13" s="1"/>
  <c r="F74" i="13" s="1"/>
  <c r="Q59" i="1"/>
  <c r="Q8" i="11"/>
  <c r="Q25" i="11" s="1"/>
  <c r="B67" i="12"/>
  <c r="G67" i="12" s="1"/>
  <c r="E68" i="12" s="1"/>
  <c r="F68" i="12" s="1"/>
  <c r="B47" i="7"/>
  <c r="E47" i="7"/>
  <c r="R77" i="6" l="1"/>
  <c r="G64" i="14"/>
  <c r="E65" i="14" s="1"/>
  <c r="F65" i="14" s="1"/>
  <c r="B74" i="13"/>
  <c r="G74" i="13" s="1"/>
  <c r="B75" i="13" s="1"/>
  <c r="B68" i="12"/>
  <c r="G68" i="12" s="1"/>
  <c r="E69" i="12" s="1"/>
  <c r="S53" i="1" s="1"/>
  <c r="F47" i="7"/>
  <c r="R80" i="6" l="1"/>
  <c r="R38" i="6" s="1"/>
  <c r="R78" i="6"/>
  <c r="R79" i="6" s="1"/>
  <c r="Q60" i="1" s="1"/>
  <c r="Q61" i="1" s="1"/>
  <c r="R23" i="6" s="1"/>
  <c r="B65" i="14"/>
  <c r="G65" i="14" s="1"/>
  <c r="E75" i="13"/>
  <c r="F75" i="13" s="1"/>
  <c r="G75" i="13" s="1"/>
  <c r="E76" i="13" s="1"/>
  <c r="F76" i="13" s="1"/>
  <c r="F69" i="12"/>
  <c r="S40" i="11" s="1"/>
  <c r="T27" i="6" s="1"/>
  <c r="B69" i="12"/>
  <c r="G47" i="7"/>
  <c r="Q34" i="11" l="1"/>
  <c r="Q43" i="11" s="1"/>
  <c r="E66" i="14"/>
  <c r="F66" i="14" s="1"/>
  <c r="B66" i="14"/>
  <c r="B76" i="13"/>
  <c r="G76" i="13" s="1"/>
  <c r="B77" i="13" s="1"/>
  <c r="G69" i="12"/>
  <c r="E70" i="12" s="1"/>
  <c r="F70" i="12" s="1"/>
  <c r="B48" i="7"/>
  <c r="E48" i="7"/>
  <c r="G66" i="14" l="1"/>
  <c r="B67" i="14" s="1"/>
  <c r="E77" i="13"/>
  <c r="F77" i="13" s="1"/>
  <c r="G77" i="13" s="1"/>
  <c r="B70" i="12"/>
  <c r="G70" i="12" s="1"/>
  <c r="B71" i="12" s="1"/>
  <c r="F48" i="7"/>
  <c r="E67" i="14" l="1"/>
  <c r="F67" i="14" s="1"/>
  <c r="G67" i="14" s="1"/>
  <c r="E78" i="13"/>
  <c r="F78" i="13" s="1"/>
  <c r="B78" i="13"/>
  <c r="E71" i="12"/>
  <c r="F71" i="12" s="1"/>
  <c r="G71" i="12" s="1"/>
  <c r="E72" i="12" s="1"/>
  <c r="F72" i="12" s="1"/>
  <c r="G48" i="7"/>
  <c r="B68" i="14" l="1"/>
  <c r="E68" i="14"/>
  <c r="F68" i="14" s="1"/>
  <c r="G78" i="13"/>
  <c r="B79" i="13" s="1"/>
  <c r="B72" i="12"/>
  <c r="G72" i="12" s="1"/>
  <c r="E73" i="12" s="1"/>
  <c r="F73" i="12" s="1"/>
  <c r="B49" i="7"/>
  <c r="E49" i="7"/>
  <c r="G68" i="14" l="1"/>
  <c r="E69" i="14" s="1"/>
  <c r="F69" i="14" s="1"/>
  <c r="E79" i="13"/>
  <c r="F79" i="13" s="1"/>
  <c r="G79" i="13" s="1"/>
  <c r="B80" i="13" s="1"/>
  <c r="B73" i="12"/>
  <c r="G73" i="12" s="1"/>
  <c r="E74" i="12" s="1"/>
  <c r="F74" i="12" s="1"/>
  <c r="F49" i="7"/>
  <c r="S55" i="1" l="1"/>
  <c r="B69" i="14"/>
  <c r="G69" i="14" s="1"/>
  <c r="S42" i="11"/>
  <c r="T29" i="6" s="1"/>
  <c r="E80" i="13"/>
  <c r="F80" i="13" s="1"/>
  <c r="G80" i="13" s="1"/>
  <c r="B81" i="13" s="1"/>
  <c r="B74" i="12"/>
  <c r="G74" i="12" s="1"/>
  <c r="E75" i="12" s="1"/>
  <c r="F75" i="12" s="1"/>
  <c r="G49" i="7"/>
  <c r="B70" i="14" l="1"/>
  <c r="E70" i="14"/>
  <c r="F70" i="14" s="1"/>
  <c r="E81" i="13"/>
  <c r="F81" i="13" s="1"/>
  <c r="G81" i="13" s="1"/>
  <c r="E82" i="13" s="1"/>
  <c r="F82" i="13" s="1"/>
  <c r="B75" i="12"/>
  <c r="G75" i="12" s="1"/>
  <c r="E76" i="12" s="1"/>
  <c r="F76" i="12" s="1"/>
  <c r="B50" i="7"/>
  <c r="E50" i="7"/>
  <c r="G70" i="14" l="1"/>
  <c r="B71" i="14" s="1"/>
  <c r="B82" i="13"/>
  <c r="G82" i="13" s="1"/>
  <c r="B83" i="13" s="1"/>
  <c r="B76" i="12"/>
  <c r="G76" i="12" s="1"/>
  <c r="B77" i="12" s="1"/>
  <c r="F50" i="7"/>
  <c r="E71" i="14" l="1"/>
  <c r="F71" i="14" s="1"/>
  <c r="G71" i="14" s="1"/>
  <c r="E72" i="14" s="1"/>
  <c r="F72" i="14" s="1"/>
  <c r="E83" i="13"/>
  <c r="F83" i="13" s="1"/>
  <c r="G83" i="13" s="1"/>
  <c r="E84" i="13" s="1"/>
  <c r="F84" i="13" s="1"/>
  <c r="E77" i="12"/>
  <c r="F77" i="12" s="1"/>
  <c r="G77" i="12" s="1"/>
  <c r="B78" i="12" s="1"/>
  <c r="G50" i="7"/>
  <c r="B72" i="14" l="1"/>
  <c r="G72" i="14" s="1"/>
  <c r="B73" i="14" s="1"/>
  <c r="B84" i="13"/>
  <c r="G84" i="13" s="1"/>
  <c r="E78" i="12"/>
  <c r="F78" i="12" s="1"/>
  <c r="G78" i="12" s="1"/>
  <c r="B79" i="12" s="1"/>
  <c r="B51" i="7"/>
  <c r="E51" i="7"/>
  <c r="F51" i="7" s="1"/>
  <c r="E73" i="14" l="1"/>
  <c r="F73" i="14" s="1"/>
  <c r="G73" i="14" s="1"/>
  <c r="B85" i="13"/>
  <c r="E85" i="13"/>
  <c r="F85" i="13" s="1"/>
  <c r="E79" i="12"/>
  <c r="F79" i="12" s="1"/>
  <c r="G79" i="12" s="1"/>
  <c r="E80" i="12" s="1"/>
  <c r="F80" i="12" s="1"/>
  <c r="G51" i="7"/>
  <c r="E52" i="7" s="1"/>
  <c r="F52" i="7" s="1"/>
  <c r="E74" i="14" l="1"/>
  <c r="F74" i="14" s="1"/>
  <c r="B74" i="14"/>
  <c r="G85" i="13"/>
  <c r="B86" i="13" s="1"/>
  <c r="B80" i="12"/>
  <c r="G80" i="12" s="1"/>
  <c r="E81" i="12" s="1"/>
  <c r="F81" i="12" s="1"/>
  <c r="B52" i="7"/>
  <c r="G52" i="7" s="1"/>
  <c r="B53" i="7" s="1"/>
  <c r="G74" i="14" l="1"/>
  <c r="B75" i="14" s="1"/>
  <c r="E86" i="13"/>
  <c r="F86" i="13" s="1"/>
  <c r="G86" i="13" s="1"/>
  <c r="B87" i="13" s="1"/>
  <c r="B81" i="12"/>
  <c r="G81" i="12" s="1"/>
  <c r="E53" i="7"/>
  <c r="F53" i="7" s="1"/>
  <c r="G53" i="7" s="1"/>
  <c r="B54" i="7" s="1"/>
  <c r="E75" i="14" l="1"/>
  <c r="F75" i="14" s="1"/>
  <c r="G75" i="14" s="1"/>
  <c r="E76" i="14" s="1"/>
  <c r="F76" i="14" s="1"/>
  <c r="E87" i="13"/>
  <c r="F87" i="13" s="1"/>
  <c r="G87" i="13" s="1"/>
  <c r="B88" i="13" s="1"/>
  <c r="E82" i="12"/>
  <c r="F82" i="12" s="1"/>
  <c r="B82" i="12"/>
  <c r="E54" i="7"/>
  <c r="F54" i="7" s="1"/>
  <c r="G54" i="7" s="1"/>
  <c r="B55" i="7" s="1"/>
  <c r="B76" i="14" l="1"/>
  <c r="G76" i="14" s="1"/>
  <c r="E77" i="14" s="1"/>
  <c r="F77" i="14" s="1"/>
  <c r="E88" i="13"/>
  <c r="F88" i="13" s="1"/>
  <c r="G88" i="13" s="1"/>
  <c r="E89" i="13" s="1"/>
  <c r="F89" i="13" s="1"/>
  <c r="G82" i="12"/>
  <c r="B83" i="12" s="1"/>
  <c r="E55" i="7"/>
  <c r="F55" i="7" s="1"/>
  <c r="G55" i="7" s="1"/>
  <c r="B56" i="7" s="1"/>
  <c r="B77" i="14" l="1"/>
  <c r="G77" i="14" s="1"/>
  <c r="E78" i="14" s="1"/>
  <c r="F78" i="14" s="1"/>
  <c r="B89" i="13"/>
  <c r="G89" i="13" s="1"/>
  <c r="E83" i="12"/>
  <c r="F83" i="12" s="1"/>
  <c r="G83" i="12" s="1"/>
  <c r="E56" i="7"/>
  <c r="F56" i="7" s="1"/>
  <c r="G56" i="7" s="1"/>
  <c r="B78" i="14" l="1"/>
  <c r="G78" i="14" s="1"/>
  <c r="B79" i="14" s="1"/>
  <c r="B90" i="13"/>
  <c r="E90" i="13"/>
  <c r="F90" i="13" s="1"/>
  <c r="E84" i="12"/>
  <c r="F84" i="12" s="1"/>
  <c r="B84" i="12"/>
  <c r="B57" i="7"/>
  <c r="E57" i="7"/>
  <c r="R52" i="1" s="1"/>
  <c r="E79" i="14" l="1"/>
  <c r="F79" i="14" s="1"/>
  <c r="G79" i="14" s="1"/>
  <c r="E80" i="14" s="1"/>
  <c r="F80" i="14" s="1"/>
  <c r="G90" i="13"/>
  <c r="G84" i="12"/>
  <c r="F57" i="7"/>
  <c r="B80" i="14" l="1"/>
  <c r="G80" i="14" s="1"/>
  <c r="B81" i="14" s="1"/>
  <c r="B91" i="13"/>
  <c r="E91" i="13"/>
  <c r="F91" i="13" s="1"/>
  <c r="R39" i="11"/>
  <c r="S26" i="6" s="1"/>
  <c r="R56" i="1"/>
  <c r="B85" i="12"/>
  <c r="E85" i="12"/>
  <c r="F85" i="12" s="1"/>
  <c r="G57" i="7"/>
  <c r="E81" i="14" l="1"/>
  <c r="F81" i="14" s="1"/>
  <c r="G81" i="14" s="1"/>
  <c r="E82" i="14" s="1"/>
  <c r="F82" i="14" s="1"/>
  <c r="G91" i="13"/>
  <c r="R65" i="1"/>
  <c r="R7" i="11"/>
  <c r="R24" i="11" s="1"/>
  <c r="R57" i="1"/>
  <c r="G85" i="12"/>
  <c r="B86" i="12" s="1"/>
  <c r="E58" i="7"/>
  <c r="B58" i="7"/>
  <c r="S30" i="6" l="1"/>
  <c r="B82" i="14"/>
  <c r="G82" i="14" s="1"/>
  <c r="B83" i="14" s="1"/>
  <c r="B92" i="13"/>
  <c r="E92" i="13"/>
  <c r="F92" i="13" s="1"/>
  <c r="R58" i="1"/>
  <c r="S67" i="6" s="1"/>
  <c r="S37" i="6" s="1"/>
  <c r="E86" i="12"/>
  <c r="F86" i="12" s="1"/>
  <c r="G86" i="12" s="1"/>
  <c r="B87" i="12" s="1"/>
  <c r="F58" i="7"/>
  <c r="E83" i="14" l="1"/>
  <c r="F83" i="14" s="1"/>
  <c r="G83" i="14" s="1"/>
  <c r="E84" i="14" s="1"/>
  <c r="F84" i="14" s="1"/>
  <c r="G92" i="13"/>
  <c r="R59" i="1"/>
  <c r="R8" i="11"/>
  <c r="R25" i="11" s="1"/>
  <c r="E87" i="12"/>
  <c r="F87" i="12" s="1"/>
  <c r="G87" i="12" s="1"/>
  <c r="E88" i="12" s="1"/>
  <c r="F88" i="12" s="1"/>
  <c r="G58" i="7"/>
  <c r="S77" i="6" l="1"/>
  <c r="B84" i="14"/>
  <c r="G84" i="14" s="1"/>
  <c r="B85" i="14" s="1"/>
  <c r="E93" i="13"/>
  <c r="F93" i="13" s="1"/>
  <c r="B93" i="13"/>
  <c r="B88" i="12"/>
  <c r="G88" i="12" s="1"/>
  <c r="E59" i="7"/>
  <c r="B59" i="7"/>
  <c r="S80" i="6" l="1"/>
  <c r="S38" i="6" s="1"/>
  <c r="S78" i="6"/>
  <c r="S79" i="6" s="1"/>
  <c r="R60" i="1" s="1"/>
  <c r="R61" i="1" s="1"/>
  <c r="S23" i="6" s="1"/>
  <c r="E85" i="14"/>
  <c r="F85" i="14" s="1"/>
  <c r="G85" i="14" s="1"/>
  <c r="G93" i="13"/>
  <c r="E94" i="13" s="1"/>
  <c r="F94" i="13" s="1"/>
  <c r="E89" i="12"/>
  <c r="F89" i="12" s="1"/>
  <c r="B89" i="12"/>
  <c r="F59" i="7"/>
  <c r="R34" i="11" l="1"/>
  <c r="R43" i="11" s="1"/>
  <c r="B94" i="13"/>
  <c r="G94" i="13" s="1"/>
  <c r="E86" i="14"/>
  <c r="F86" i="14" s="1"/>
  <c r="B86" i="14"/>
  <c r="G89" i="12"/>
  <c r="G59" i="7"/>
  <c r="B95" i="13" l="1"/>
  <c r="E95" i="13"/>
  <c r="F95" i="13" s="1"/>
  <c r="G86" i="14"/>
  <c r="B87" i="14" s="1"/>
  <c r="E90" i="12"/>
  <c r="F90" i="12" s="1"/>
  <c r="B90" i="12"/>
  <c r="E60" i="7"/>
  <c r="B60" i="7"/>
  <c r="G95" i="13" l="1"/>
  <c r="B96" i="13" s="1"/>
  <c r="E87" i="14"/>
  <c r="F87" i="14" s="1"/>
  <c r="G87" i="14" s="1"/>
  <c r="B88" i="14" s="1"/>
  <c r="G90" i="12"/>
  <c r="F60" i="7"/>
  <c r="E96" i="13" l="1"/>
  <c r="F96" i="13" s="1"/>
  <c r="G96" i="13" s="1"/>
  <c r="E97" i="13" s="1"/>
  <c r="F97" i="13" s="1"/>
  <c r="E88" i="14"/>
  <c r="F88" i="14" s="1"/>
  <c r="G88" i="14" s="1"/>
  <c r="B89" i="14" s="1"/>
  <c r="E91" i="12"/>
  <c r="F91" i="12" s="1"/>
  <c r="B91" i="12"/>
  <c r="G60" i="7"/>
  <c r="B97" i="13" l="1"/>
  <c r="G97" i="13" s="1"/>
  <c r="B98" i="13" s="1"/>
  <c r="E89" i="14"/>
  <c r="F89" i="14" s="1"/>
  <c r="G89" i="14" s="1"/>
  <c r="E90" i="14" s="1"/>
  <c r="F90" i="14" s="1"/>
  <c r="G91" i="12"/>
  <c r="E61" i="7"/>
  <c r="B61" i="7"/>
  <c r="E98" i="13" l="1"/>
  <c r="F98" i="13" s="1"/>
  <c r="G98" i="13" s="1"/>
  <c r="B99" i="13" s="1"/>
  <c r="B90" i="14"/>
  <c r="G90" i="14" s="1"/>
  <c r="E91" i="14" s="1"/>
  <c r="F91" i="14" s="1"/>
  <c r="E92" i="12"/>
  <c r="F92" i="12" s="1"/>
  <c r="B92" i="12"/>
  <c r="F61" i="7"/>
  <c r="E99" i="13" l="1"/>
  <c r="F99" i="13" s="1"/>
  <c r="G99" i="13" s="1"/>
  <c r="E100" i="13" s="1"/>
  <c r="F100" i="13" s="1"/>
  <c r="B91" i="14"/>
  <c r="G91" i="14" s="1"/>
  <c r="E92" i="14" s="1"/>
  <c r="F92" i="14" s="1"/>
  <c r="G92" i="12"/>
  <c r="G61" i="7"/>
  <c r="B100" i="13" l="1"/>
  <c r="G100" i="13" s="1"/>
  <c r="B101" i="13" s="1"/>
  <c r="B92" i="14"/>
  <c r="G92" i="14" s="1"/>
  <c r="B93" i="12"/>
  <c r="E93" i="12"/>
  <c r="F93" i="12" s="1"/>
  <c r="E62" i="7"/>
  <c r="B62" i="7"/>
  <c r="E101" i="13" l="1"/>
  <c r="F101" i="13" s="1"/>
  <c r="G101" i="13" s="1"/>
  <c r="E102" i="13" s="1"/>
  <c r="F102" i="13" s="1"/>
  <c r="B93" i="14"/>
  <c r="E93" i="14"/>
  <c r="F93" i="14" s="1"/>
  <c r="G93" i="12"/>
  <c r="B94" i="12" s="1"/>
  <c r="F62" i="7"/>
  <c r="B102" i="13" l="1"/>
  <c r="G102" i="13" s="1"/>
  <c r="B103" i="13" s="1"/>
  <c r="G93" i="14"/>
  <c r="E94" i="14" s="1"/>
  <c r="F94" i="14" s="1"/>
  <c r="E94" i="12"/>
  <c r="F94" i="12" s="1"/>
  <c r="G94" i="12" s="1"/>
  <c r="E95" i="12" s="1"/>
  <c r="F95" i="12" s="1"/>
  <c r="G62" i="7"/>
  <c r="E103" i="13" l="1"/>
  <c r="F103" i="13" s="1"/>
  <c r="G103" i="13" s="1"/>
  <c r="E104" i="13" s="1"/>
  <c r="F104" i="13" s="1"/>
  <c r="B94" i="14"/>
  <c r="G94" i="14" s="1"/>
  <c r="B95" i="12"/>
  <c r="G95" i="12" s="1"/>
  <c r="E63" i="7"/>
  <c r="F63" i="7" s="1"/>
  <c r="B63" i="7"/>
  <c r="B104" i="13" l="1"/>
  <c r="G104" i="13" s="1"/>
  <c r="B105" i="13" s="1"/>
  <c r="B95" i="14"/>
  <c r="E95" i="14"/>
  <c r="F95" i="14" s="1"/>
  <c r="E96" i="12"/>
  <c r="F96" i="12" s="1"/>
  <c r="B96" i="12"/>
  <c r="G63" i="7"/>
  <c r="E64" i="7" s="1"/>
  <c r="F64" i="7" s="1"/>
  <c r="E105" i="13" l="1"/>
  <c r="F105" i="13" s="1"/>
  <c r="G105" i="13" s="1"/>
  <c r="E106" i="13" s="1"/>
  <c r="F106" i="13" s="1"/>
  <c r="G95" i="14"/>
  <c r="B96" i="14" s="1"/>
  <c r="G96" i="12"/>
  <c r="E97" i="12" s="1"/>
  <c r="F97" i="12" s="1"/>
  <c r="B64" i="7"/>
  <c r="G64" i="7" s="1"/>
  <c r="B106" i="13" l="1"/>
  <c r="G106" i="13" s="1"/>
  <c r="E107" i="13" s="1"/>
  <c r="F107" i="13" s="1"/>
  <c r="E96" i="14"/>
  <c r="F96" i="14" s="1"/>
  <c r="G96" i="14" s="1"/>
  <c r="B97" i="14" s="1"/>
  <c r="B97" i="12"/>
  <c r="G97" i="12" s="1"/>
  <c r="E65" i="7"/>
  <c r="F65" i="7" s="1"/>
  <c r="B65" i="7"/>
  <c r="B107" i="13" l="1"/>
  <c r="G107" i="13" s="1"/>
  <c r="B108" i="13" s="1"/>
  <c r="E97" i="14"/>
  <c r="F97" i="14" s="1"/>
  <c r="G97" i="14" s="1"/>
  <c r="B98" i="14" s="1"/>
  <c r="E98" i="12"/>
  <c r="F98" i="12" s="1"/>
  <c r="B98" i="12"/>
  <c r="G65" i="7"/>
  <c r="B66" i="7" s="1"/>
  <c r="E108" i="13" l="1"/>
  <c r="F108" i="13" s="1"/>
  <c r="G108" i="13" s="1"/>
  <c r="E109" i="13" s="1"/>
  <c r="F109" i="13" s="1"/>
  <c r="E98" i="14"/>
  <c r="F98" i="14" s="1"/>
  <c r="G98" i="14" s="1"/>
  <c r="G98" i="12"/>
  <c r="E66" i="7"/>
  <c r="F66" i="7" s="1"/>
  <c r="G66" i="7" s="1"/>
  <c r="B67" i="7" s="1"/>
  <c r="B109" i="13" l="1"/>
  <c r="G109" i="13" s="1"/>
  <c r="B110" i="13" s="1"/>
  <c r="B99" i="14"/>
  <c r="E99" i="14"/>
  <c r="F99" i="14" s="1"/>
  <c r="E99" i="12"/>
  <c r="F99" i="12" s="1"/>
  <c r="B99" i="12"/>
  <c r="E67" i="7"/>
  <c r="F67" i="7" s="1"/>
  <c r="G67" i="7" s="1"/>
  <c r="B68" i="7" s="1"/>
  <c r="E110" i="13" l="1"/>
  <c r="F110" i="13" s="1"/>
  <c r="G110" i="13" s="1"/>
  <c r="B111" i="13" s="1"/>
  <c r="G99" i="14"/>
  <c r="B100" i="14" s="1"/>
  <c r="G99" i="12"/>
  <c r="E68" i="7"/>
  <c r="F68" i="7" s="1"/>
  <c r="G68" i="7" s="1"/>
  <c r="E69" i="7" s="1"/>
  <c r="S52" i="1" s="1"/>
  <c r="E111" i="13" l="1"/>
  <c r="F111" i="13" s="1"/>
  <c r="G111" i="13" s="1"/>
  <c r="B112" i="13" s="1"/>
  <c r="E100" i="14"/>
  <c r="F100" i="14" s="1"/>
  <c r="G100" i="14" s="1"/>
  <c r="F69" i="7"/>
  <c r="E100" i="12"/>
  <c r="F100" i="12" s="1"/>
  <c r="B100" i="12"/>
  <c r="B69" i="7"/>
  <c r="E112" i="13" l="1"/>
  <c r="F112" i="13" s="1"/>
  <c r="G112" i="13" s="1"/>
  <c r="E113" i="13" s="1"/>
  <c r="F113" i="13" s="1"/>
  <c r="S39" i="11"/>
  <c r="G69" i="7"/>
  <c r="B70" i="7" s="1"/>
  <c r="B101" i="14"/>
  <c r="E101" i="14"/>
  <c r="F101" i="14" s="1"/>
  <c r="S56" i="1"/>
  <c r="G100" i="12"/>
  <c r="T26" i="6" l="1"/>
  <c r="T30" i="6" s="1"/>
  <c r="B113" i="13"/>
  <c r="G113" i="13" s="1"/>
  <c r="E114" i="13" s="1"/>
  <c r="F114" i="13" s="1"/>
  <c r="S65" i="1"/>
  <c r="S7" i="11"/>
  <c r="S24" i="11" s="1"/>
  <c r="G101" i="14"/>
  <c r="E102" i="14" s="1"/>
  <c r="F102" i="14" s="1"/>
  <c r="E70" i="7"/>
  <c r="F70" i="7" s="1"/>
  <c r="G70" i="7" s="1"/>
  <c r="E71" i="7" s="1"/>
  <c r="F71" i="7" s="1"/>
  <c r="S57" i="1"/>
  <c r="S58" i="1" s="1"/>
  <c r="B101" i="12"/>
  <c r="E101" i="12"/>
  <c r="F101" i="12" s="1"/>
  <c r="S8" i="11" l="1"/>
  <c r="T67" i="6"/>
  <c r="T37" i="6" s="1"/>
  <c r="B114" i="13"/>
  <c r="G114" i="13" s="1"/>
  <c r="E115" i="13" s="1"/>
  <c r="F115" i="13" s="1"/>
  <c r="B102" i="14"/>
  <c r="G102" i="14" s="1"/>
  <c r="E103" i="14" s="1"/>
  <c r="F103" i="14" s="1"/>
  <c r="S59" i="1"/>
  <c r="G101" i="12"/>
  <c r="E102" i="12" s="1"/>
  <c r="F102" i="12" s="1"/>
  <c r="B71" i="7"/>
  <c r="G71" i="7" s="1"/>
  <c r="B72" i="7" s="1"/>
  <c r="T77" i="6" l="1"/>
  <c r="T80" i="6" s="1"/>
  <c r="R58" i="6"/>
  <c r="Q58" i="6"/>
  <c r="P63" i="6"/>
  <c r="Q63" i="6"/>
  <c r="Q34" i="6" s="1"/>
  <c r="Q19" i="11" s="1"/>
  <c r="S25" i="11"/>
  <c r="B115" i="13"/>
  <c r="G115" i="13" s="1"/>
  <c r="B116" i="13" s="1"/>
  <c r="D72" i="6"/>
  <c r="D35" i="6" s="1"/>
  <c r="F72" i="6"/>
  <c r="F35" i="6" s="1"/>
  <c r="G72" i="6"/>
  <c r="E72" i="6"/>
  <c r="K72" i="6"/>
  <c r="K35" i="6" s="1"/>
  <c r="H72" i="6"/>
  <c r="H35" i="6" s="1"/>
  <c r="O72" i="6"/>
  <c r="J72" i="6"/>
  <c r="J35" i="6" s="1"/>
  <c r="L72" i="6"/>
  <c r="L35" i="6" s="1"/>
  <c r="M72" i="6"/>
  <c r="I72" i="6"/>
  <c r="N72" i="6"/>
  <c r="N35" i="6" s="1"/>
  <c r="D63" i="6"/>
  <c r="D34" i="6" s="1"/>
  <c r="E63" i="6"/>
  <c r="F63" i="6"/>
  <c r="O63" i="6"/>
  <c r="N63" i="6"/>
  <c r="G63" i="6"/>
  <c r="J63" i="6"/>
  <c r="L63" i="6"/>
  <c r="H63" i="6"/>
  <c r="H34" i="6" s="1"/>
  <c r="M63" i="6"/>
  <c r="I63" i="6"/>
  <c r="K63" i="6"/>
  <c r="D58" i="6"/>
  <c r="D33" i="6" s="1"/>
  <c r="E58" i="6"/>
  <c r="E33" i="6" s="1"/>
  <c r="O58" i="6"/>
  <c r="O33" i="6" s="1"/>
  <c r="F58" i="6"/>
  <c r="F33" i="6" s="1"/>
  <c r="N58" i="6"/>
  <c r="N33" i="6" s="1"/>
  <c r="I58" i="6"/>
  <c r="I33" i="6" s="1"/>
  <c r="H58" i="6"/>
  <c r="H33" i="6" s="1"/>
  <c r="J58" i="6"/>
  <c r="J33" i="6" s="1"/>
  <c r="M58" i="6"/>
  <c r="M33" i="6" s="1"/>
  <c r="G58" i="6"/>
  <c r="G33" i="6" s="1"/>
  <c r="L58" i="6"/>
  <c r="L33" i="6" s="1"/>
  <c r="K58" i="6"/>
  <c r="K33" i="6" s="1"/>
  <c r="B103" i="14"/>
  <c r="G103" i="14" s="1"/>
  <c r="B102" i="12"/>
  <c r="G102" i="12" s="1"/>
  <c r="B103" i="12" s="1"/>
  <c r="E72" i="7"/>
  <c r="F72" i="7" s="1"/>
  <c r="G72" i="7" s="1"/>
  <c r="M34" i="6" l="1"/>
  <c r="K34" i="6"/>
  <c r="G34" i="6"/>
  <c r="I34" i="6"/>
  <c r="E34" i="6"/>
  <c r="N34" i="6"/>
  <c r="L34" i="6"/>
  <c r="O34" i="6"/>
  <c r="P34" i="6" s="1"/>
  <c r="P19" i="11" s="1"/>
  <c r="J34" i="6"/>
  <c r="F34" i="6"/>
  <c r="T78" i="6"/>
  <c r="T79" i="6" s="1"/>
  <c r="S60" i="1" s="1"/>
  <c r="S61" i="1" s="1"/>
  <c r="T23" i="6" s="1"/>
  <c r="T38" i="6"/>
  <c r="P58" i="6"/>
  <c r="D49" i="6"/>
  <c r="K49" i="6"/>
  <c r="J49" i="6"/>
  <c r="F49" i="6"/>
  <c r="N49" i="6"/>
  <c r="L49" i="6"/>
  <c r="H49" i="6"/>
  <c r="G49" i="6"/>
  <c r="I49" i="6"/>
  <c r="E49" i="6"/>
  <c r="O35" i="6"/>
  <c r="N20" i="11" s="1"/>
  <c r="P72" i="6"/>
  <c r="E35" i="6"/>
  <c r="D20" i="11" s="1"/>
  <c r="I35" i="6"/>
  <c r="H20" i="11" s="1"/>
  <c r="G35" i="6"/>
  <c r="G20" i="11" s="1"/>
  <c r="M35" i="6"/>
  <c r="L20" i="11" s="1"/>
  <c r="K20" i="11"/>
  <c r="O49" i="6"/>
  <c r="P49" i="6" s="1"/>
  <c r="J20" i="11"/>
  <c r="C20" i="11"/>
  <c r="C19" i="11"/>
  <c r="E116" i="13"/>
  <c r="F116" i="13" s="1"/>
  <c r="G116" i="13" s="1"/>
  <c r="E117" i="13" s="1"/>
  <c r="F117" i="13" s="1"/>
  <c r="B104" i="14"/>
  <c r="E104" i="14"/>
  <c r="F104" i="14" s="1"/>
  <c r="E103" i="12"/>
  <c r="F103" i="12" s="1"/>
  <c r="G103" i="12" s="1"/>
  <c r="E104" i="12" s="1"/>
  <c r="F104" i="12" s="1"/>
  <c r="B73" i="7"/>
  <c r="E73" i="7"/>
  <c r="F73" i="7" s="1"/>
  <c r="S34" i="11" l="1"/>
  <c r="S43" i="11" s="1"/>
  <c r="C18" i="11"/>
  <c r="K18" i="11"/>
  <c r="H18" i="11"/>
  <c r="L18" i="11"/>
  <c r="M18" i="11"/>
  <c r="I18" i="11"/>
  <c r="G18" i="11"/>
  <c r="M49" i="6"/>
  <c r="E18" i="11"/>
  <c r="F18" i="11"/>
  <c r="D18" i="11"/>
  <c r="N18" i="11"/>
  <c r="J18" i="11"/>
  <c r="M20" i="11"/>
  <c r="F20" i="11"/>
  <c r="E20" i="11"/>
  <c r="P35" i="6"/>
  <c r="Q35" i="6" s="1"/>
  <c r="R35" i="6" s="1"/>
  <c r="S35" i="6" s="1"/>
  <c r="T35" i="6" s="1"/>
  <c r="S20" i="11" s="1"/>
  <c r="I20" i="11"/>
  <c r="P33" i="6"/>
  <c r="Q33" i="6" s="1"/>
  <c r="R33" i="6" s="1"/>
  <c r="S33" i="6" s="1"/>
  <c r="T33" i="6" s="1"/>
  <c r="E19" i="11"/>
  <c r="M19" i="11"/>
  <c r="L19" i="11"/>
  <c r="N19" i="11"/>
  <c r="G19" i="11"/>
  <c r="I19" i="11"/>
  <c r="K19" i="11"/>
  <c r="D19" i="11"/>
  <c r="F19" i="11"/>
  <c r="H19" i="11"/>
  <c r="J19" i="11"/>
  <c r="B117" i="13"/>
  <c r="G117" i="13" s="1"/>
  <c r="E118" i="13" s="1"/>
  <c r="F118" i="13" s="1"/>
  <c r="G104" i="14"/>
  <c r="B105" i="14" s="1"/>
  <c r="B104" i="12"/>
  <c r="G104" i="12" s="1"/>
  <c r="G73" i="7"/>
  <c r="O18" i="11" l="1"/>
  <c r="O20" i="11"/>
  <c r="Q20" i="11"/>
  <c r="R20" i="11"/>
  <c r="P20" i="11"/>
  <c r="O19" i="11"/>
  <c r="B118" i="13"/>
  <c r="G118" i="13" s="1"/>
  <c r="B119" i="13" s="1"/>
  <c r="E105" i="14"/>
  <c r="F105" i="14" s="1"/>
  <c r="G105" i="14" s="1"/>
  <c r="E105" i="12"/>
  <c r="F105" i="12" s="1"/>
  <c r="B105" i="12"/>
  <c r="E74" i="7"/>
  <c r="F74" i="7" s="1"/>
  <c r="B74" i="7"/>
  <c r="Q18" i="11" l="1"/>
  <c r="Q49" i="6"/>
  <c r="P18" i="11"/>
  <c r="E119" i="13"/>
  <c r="F119" i="13" s="1"/>
  <c r="G119" i="13" s="1"/>
  <c r="E120" i="13" s="1"/>
  <c r="F120" i="13" s="1"/>
  <c r="B106" i="14"/>
  <c r="E106" i="14"/>
  <c r="F106" i="14" s="1"/>
  <c r="G105" i="12"/>
  <c r="G74" i="7"/>
  <c r="B75" i="7" s="1"/>
  <c r="R18" i="11" l="1"/>
  <c r="R49" i="6"/>
  <c r="B120" i="13"/>
  <c r="G120" i="13" s="1"/>
  <c r="B121" i="13" s="1"/>
  <c r="G106" i="14"/>
  <c r="B107" i="14" s="1"/>
  <c r="E106" i="12"/>
  <c r="F106" i="12" s="1"/>
  <c r="B106" i="12"/>
  <c r="E75" i="7"/>
  <c r="F75" i="7" s="1"/>
  <c r="G75" i="7" s="1"/>
  <c r="E76" i="7" s="1"/>
  <c r="F76" i="7" s="1"/>
  <c r="T49" i="6" l="1"/>
  <c r="S49" i="6"/>
  <c r="E121" i="13"/>
  <c r="F121" i="13" s="1"/>
  <c r="G121" i="13" s="1"/>
  <c r="E122" i="13" s="1"/>
  <c r="F122" i="13" s="1"/>
  <c r="E107" i="14"/>
  <c r="F107" i="14" s="1"/>
  <c r="G107" i="14" s="1"/>
  <c r="B108" i="14" s="1"/>
  <c r="G106" i="12"/>
  <c r="B76" i="7"/>
  <c r="G76" i="7" s="1"/>
  <c r="B77" i="7" s="1"/>
  <c r="S18" i="11" l="1"/>
  <c r="B122" i="13"/>
  <c r="G122" i="13" s="1"/>
  <c r="E123" i="13" s="1"/>
  <c r="F123" i="13" s="1"/>
  <c r="E108" i="14"/>
  <c r="F108" i="14" s="1"/>
  <c r="G108" i="14" s="1"/>
  <c r="E109" i="14" s="1"/>
  <c r="F109" i="14" s="1"/>
  <c r="E107" i="12"/>
  <c r="F107" i="12" s="1"/>
  <c r="B107" i="12"/>
  <c r="E77" i="7"/>
  <c r="F77" i="7" s="1"/>
  <c r="G77" i="7" s="1"/>
  <c r="E78" i="7" s="1"/>
  <c r="F78" i="7" s="1"/>
  <c r="B123" i="13" l="1"/>
  <c r="G123" i="13" s="1"/>
  <c r="B124" i="13" s="1"/>
  <c r="B109" i="14"/>
  <c r="G109" i="14" s="1"/>
  <c r="G107" i="12"/>
  <c r="B78" i="7"/>
  <c r="G78" i="7" s="1"/>
  <c r="E79" i="7" s="1"/>
  <c r="F79" i="7" s="1"/>
  <c r="E124" i="13" l="1"/>
  <c r="F124" i="13" s="1"/>
  <c r="G124" i="13" s="1"/>
  <c r="E125" i="13" s="1"/>
  <c r="F125" i="13" s="1"/>
  <c r="E110" i="14"/>
  <c r="F110" i="14" s="1"/>
  <c r="B110" i="14"/>
  <c r="E108" i="12"/>
  <c r="F108" i="12" s="1"/>
  <c r="B108" i="12"/>
  <c r="B79" i="7"/>
  <c r="G79" i="7" s="1"/>
  <c r="E80" i="7" s="1"/>
  <c r="F80" i="7" s="1"/>
  <c r="B125" i="13" l="1"/>
  <c r="G125" i="13" s="1"/>
  <c r="E126" i="13" s="1"/>
  <c r="F126" i="13" s="1"/>
  <c r="G110" i="14"/>
  <c r="G108" i="12"/>
  <c r="B80" i="7"/>
  <c r="G80" i="7" s="1"/>
  <c r="B81" i="7" s="1"/>
  <c r="B126" i="13" l="1"/>
  <c r="G126" i="13" s="1"/>
  <c r="E127" i="13" s="1"/>
  <c r="F127" i="13" s="1"/>
  <c r="B111" i="14"/>
  <c r="E111" i="14"/>
  <c r="F111" i="14" s="1"/>
  <c r="B109" i="12"/>
  <c r="E109" i="12"/>
  <c r="F109" i="12" s="1"/>
  <c r="E81" i="7"/>
  <c r="F81" i="7" s="1"/>
  <c r="G81" i="7" s="1"/>
  <c r="B127" i="13" l="1"/>
  <c r="G127" i="13" s="1"/>
  <c r="B128" i="13" s="1"/>
  <c r="G111" i="14"/>
  <c r="E112" i="14" s="1"/>
  <c r="F112" i="14" s="1"/>
  <c r="G109" i="12"/>
  <c r="E110" i="12" s="1"/>
  <c r="F110" i="12" s="1"/>
  <c r="E82" i="7"/>
  <c r="F82" i="7" s="1"/>
  <c r="B82" i="7"/>
  <c r="E128" i="13" l="1"/>
  <c r="F128" i="13" s="1"/>
  <c r="G128" i="13" s="1"/>
  <c r="B129" i="13" s="1"/>
  <c r="B112" i="14"/>
  <c r="G112" i="14" s="1"/>
  <c r="E113" i="14" s="1"/>
  <c r="F113" i="14" s="1"/>
  <c r="B110" i="12"/>
  <c r="G110" i="12" s="1"/>
  <c r="G82" i="7"/>
  <c r="B83" i="7" s="1"/>
  <c r="E129" i="13" l="1"/>
  <c r="F129" i="13" s="1"/>
  <c r="G129" i="13" s="1"/>
  <c r="B130" i="13" s="1"/>
  <c r="B113" i="14"/>
  <c r="G113" i="14" s="1"/>
  <c r="E114" i="14" s="1"/>
  <c r="F114" i="14" s="1"/>
  <c r="B111" i="12"/>
  <c r="E111" i="12"/>
  <c r="F111" i="12" s="1"/>
  <c r="E83" i="7"/>
  <c r="F83" i="7" s="1"/>
  <c r="G83" i="7" s="1"/>
  <c r="B84" i="7" s="1"/>
  <c r="E130" i="13" l="1"/>
  <c r="F130" i="13" s="1"/>
  <c r="G130" i="13" s="1"/>
  <c r="E131" i="13" s="1"/>
  <c r="F131" i="13" s="1"/>
  <c r="B114" i="14"/>
  <c r="G114" i="14" s="1"/>
  <c r="G111" i="12"/>
  <c r="E112" i="12" s="1"/>
  <c r="F112" i="12" s="1"/>
  <c r="E84" i="7"/>
  <c r="F84" i="7" s="1"/>
  <c r="G84" i="7" s="1"/>
  <c r="E85" i="7" s="1"/>
  <c r="F85" i="7" s="1"/>
  <c r="B131" i="13" l="1"/>
  <c r="G131" i="13" s="1"/>
  <c r="E132" i="13" s="1"/>
  <c r="F132" i="13" s="1"/>
  <c r="B115" i="14"/>
  <c r="E115" i="14"/>
  <c r="F115" i="14" s="1"/>
  <c r="B112" i="12"/>
  <c r="G112" i="12" s="1"/>
  <c r="B85" i="7"/>
  <c r="G85" i="7" s="1"/>
  <c r="B132" i="13" l="1"/>
  <c r="G132" i="13" s="1"/>
  <c r="B133" i="13" s="1"/>
  <c r="G115" i="14"/>
  <c r="B113" i="12"/>
  <c r="E113" i="12"/>
  <c r="F113" i="12" s="1"/>
  <c r="B86" i="7"/>
  <c r="E86" i="7"/>
  <c r="F86" i="7" s="1"/>
  <c r="E133" i="13" l="1"/>
  <c r="F133" i="13" s="1"/>
  <c r="G133" i="13" s="1"/>
  <c r="B134" i="13" s="1"/>
  <c r="B116" i="14"/>
  <c r="E116" i="14"/>
  <c r="F116" i="14" s="1"/>
  <c r="G113" i="12"/>
  <c r="B114" i="12" s="1"/>
  <c r="G86" i="7"/>
  <c r="B87" i="7" s="1"/>
  <c r="E134" i="13" l="1"/>
  <c r="F134" i="13" s="1"/>
  <c r="G134" i="13" s="1"/>
  <c r="B135" i="13" s="1"/>
  <c r="G116" i="14"/>
  <c r="E114" i="12"/>
  <c r="F114" i="12" s="1"/>
  <c r="G114" i="12" s="1"/>
  <c r="E87" i="7"/>
  <c r="F87" i="7" s="1"/>
  <c r="G87" i="7" s="1"/>
  <c r="B88" i="7" s="1"/>
  <c r="E135" i="13" l="1"/>
  <c r="F135" i="13" s="1"/>
  <c r="G135" i="13" s="1"/>
  <c r="E136" i="13" s="1"/>
  <c r="F136" i="13" s="1"/>
  <c r="B117" i="14"/>
  <c r="E117" i="14"/>
  <c r="F117" i="14" s="1"/>
  <c r="B115" i="12"/>
  <c r="E115" i="12"/>
  <c r="F115" i="12" s="1"/>
  <c r="E88" i="7"/>
  <c r="F88" i="7" s="1"/>
  <c r="G88" i="7" s="1"/>
  <c r="B89" i="7" s="1"/>
  <c r="B136" i="13" l="1"/>
  <c r="G136" i="13" s="1"/>
  <c r="E137" i="13" s="1"/>
  <c r="F137" i="13" s="1"/>
  <c r="G117" i="14"/>
  <c r="B118" i="14" s="1"/>
  <c r="G115" i="12"/>
  <c r="B116" i="12" s="1"/>
  <c r="E89" i="7"/>
  <c r="F89" i="7" s="1"/>
  <c r="G89" i="7" s="1"/>
  <c r="B90" i="7" s="1"/>
  <c r="B137" i="13" l="1"/>
  <c r="G137" i="13" s="1"/>
  <c r="E138" i="13" s="1"/>
  <c r="F138" i="13" s="1"/>
  <c r="E118" i="14"/>
  <c r="F118" i="14" s="1"/>
  <c r="G118" i="14" s="1"/>
  <c r="B119" i="14" s="1"/>
  <c r="E116" i="12"/>
  <c r="F116" i="12" s="1"/>
  <c r="G116" i="12" s="1"/>
  <c r="E117" i="12" s="1"/>
  <c r="F117" i="12" s="1"/>
  <c r="E90" i="7"/>
  <c r="F90" i="7" s="1"/>
  <c r="G90" i="7" s="1"/>
  <c r="B91" i="7" s="1"/>
  <c r="B138" i="13" l="1"/>
  <c r="G138" i="13" s="1"/>
  <c r="B139" i="13" s="1"/>
  <c r="E119" i="14"/>
  <c r="F119" i="14" s="1"/>
  <c r="G119" i="14" s="1"/>
  <c r="E120" i="14" s="1"/>
  <c r="F120" i="14" s="1"/>
  <c r="B117" i="12"/>
  <c r="G117" i="12" s="1"/>
  <c r="E91" i="7"/>
  <c r="F91" i="7" s="1"/>
  <c r="G91" i="7" s="1"/>
  <c r="B92" i="7" s="1"/>
  <c r="E139" i="13" l="1"/>
  <c r="F139" i="13" s="1"/>
  <c r="G139" i="13" s="1"/>
  <c r="B140" i="13" s="1"/>
  <c r="B120" i="14"/>
  <c r="G120" i="14" s="1"/>
  <c r="B121" i="14" s="1"/>
  <c r="E118" i="12"/>
  <c r="F118" i="12" s="1"/>
  <c r="B118" i="12"/>
  <c r="E92" i="7"/>
  <c r="F92" i="7" s="1"/>
  <c r="G92" i="7" s="1"/>
  <c r="B93" i="7" s="1"/>
  <c r="E140" i="13" l="1"/>
  <c r="F140" i="13" s="1"/>
  <c r="G140" i="13" s="1"/>
  <c r="E141" i="13" s="1"/>
  <c r="F141" i="13" s="1"/>
  <c r="E121" i="14"/>
  <c r="F121" i="14" s="1"/>
  <c r="G121" i="14" s="1"/>
  <c r="E122" i="14" s="1"/>
  <c r="F122" i="14" s="1"/>
  <c r="G118" i="12"/>
  <c r="B119" i="12" s="1"/>
  <c r="E93" i="7"/>
  <c r="F93" i="7" s="1"/>
  <c r="G93" i="7" s="1"/>
  <c r="B94" i="7" s="1"/>
  <c r="B141" i="13" l="1"/>
  <c r="G141" i="13" s="1"/>
  <c r="E142" i="13" s="1"/>
  <c r="F142" i="13" s="1"/>
  <c r="B122" i="14"/>
  <c r="G122" i="14" s="1"/>
  <c r="E123" i="14" s="1"/>
  <c r="F123" i="14" s="1"/>
  <c r="E119" i="12"/>
  <c r="F119" i="12" s="1"/>
  <c r="G119" i="12" s="1"/>
  <c r="E120" i="12" s="1"/>
  <c r="F120" i="12" s="1"/>
  <c r="E94" i="7"/>
  <c r="F94" i="7" s="1"/>
  <c r="G94" i="7" s="1"/>
  <c r="B95" i="7" s="1"/>
  <c r="B142" i="13" l="1"/>
  <c r="G142" i="13" s="1"/>
  <c r="B143" i="13" s="1"/>
  <c r="B123" i="14"/>
  <c r="G123" i="14" s="1"/>
  <c r="E124" i="14" s="1"/>
  <c r="F124" i="14" s="1"/>
  <c r="B120" i="12"/>
  <c r="G120" i="12" s="1"/>
  <c r="E95" i="7"/>
  <c r="F95" i="7" s="1"/>
  <c r="G95" i="7" s="1"/>
  <c r="B96" i="7" s="1"/>
  <c r="E143" i="13" l="1"/>
  <c r="F143" i="13" s="1"/>
  <c r="G143" i="13" s="1"/>
  <c r="E144" i="13" s="1"/>
  <c r="F144" i="13" s="1"/>
  <c r="B124" i="14"/>
  <c r="G124" i="14" s="1"/>
  <c r="E125" i="14" s="1"/>
  <c r="F125" i="14" s="1"/>
  <c r="B121" i="12"/>
  <c r="E121" i="12"/>
  <c r="F121" i="12" s="1"/>
  <c r="E96" i="7"/>
  <c r="F96" i="7" s="1"/>
  <c r="G96" i="7" s="1"/>
  <c r="E97" i="7" s="1"/>
  <c r="F97" i="7" s="1"/>
  <c r="B144" i="13" l="1"/>
  <c r="G144" i="13" s="1"/>
  <c r="E145" i="13" s="1"/>
  <c r="F145" i="13" s="1"/>
  <c r="B125" i="14"/>
  <c r="G125" i="14" s="1"/>
  <c r="E126" i="14" s="1"/>
  <c r="F126" i="14" s="1"/>
  <c r="G121" i="12"/>
  <c r="B122" i="12" s="1"/>
  <c r="B97" i="7"/>
  <c r="G97" i="7" s="1"/>
  <c r="E98" i="7" s="1"/>
  <c r="F98" i="7" s="1"/>
  <c r="B145" i="13" l="1"/>
  <c r="G145" i="13" s="1"/>
  <c r="B146" i="13" s="1"/>
  <c r="B126" i="14"/>
  <c r="G126" i="14" s="1"/>
  <c r="E122" i="12"/>
  <c r="F122" i="12" s="1"/>
  <c r="G122" i="12" s="1"/>
  <c r="B98" i="7"/>
  <c r="G98" i="7" s="1"/>
  <c r="E99" i="7" s="1"/>
  <c r="F99" i="7" s="1"/>
  <c r="E146" i="13" l="1"/>
  <c r="F146" i="13" s="1"/>
  <c r="G146" i="13" s="1"/>
  <c r="E147" i="13" s="1"/>
  <c r="F147" i="13" s="1"/>
  <c r="B127" i="14"/>
  <c r="E127" i="14"/>
  <c r="F127" i="14" s="1"/>
  <c r="B123" i="12"/>
  <c r="E123" i="12"/>
  <c r="F123" i="12" s="1"/>
  <c r="B99" i="7"/>
  <c r="G99" i="7" s="1"/>
  <c r="E100" i="7" s="1"/>
  <c r="F100" i="7" s="1"/>
  <c r="B147" i="13" l="1"/>
  <c r="G147" i="13" s="1"/>
  <c r="E148" i="13" s="1"/>
  <c r="F148" i="13" s="1"/>
  <c r="G127" i="14"/>
  <c r="E128" i="14" s="1"/>
  <c r="F128" i="14" s="1"/>
  <c r="G123" i="12"/>
  <c r="B124" i="12" s="1"/>
  <c r="B100" i="7"/>
  <c r="G100" i="7" s="1"/>
  <c r="E101" i="7" s="1"/>
  <c r="F101" i="7" s="1"/>
  <c r="B148" i="13" l="1"/>
  <c r="G148" i="13" s="1"/>
  <c r="E149" i="13" s="1"/>
  <c r="F149" i="13" s="1"/>
  <c r="B128" i="14"/>
  <c r="G128" i="14" s="1"/>
  <c r="E124" i="12"/>
  <c r="F124" i="12" s="1"/>
  <c r="G124" i="12" s="1"/>
  <c r="B101" i="7"/>
  <c r="G101" i="7" s="1"/>
  <c r="E102" i="7" s="1"/>
  <c r="F102" i="7" s="1"/>
  <c r="B149" i="13" l="1"/>
  <c r="G149" i="13" s="1"/>
  <c r="B129" i="14"/>
  <c r="E129" i="14"/>
  <c r="F129" i="14" s="1"/>
  <c r="B125" i="12"/>
  <c r="E125" i="12"/>
  <c r="F125" i="12" s="1"/>
  <c r="B102" i="7"/>
  <c r="G102" i="7" s="1"/>
  <c r="G129" i="14" l="1"/>
  <c r="B130" i="14" s="1"/>
  <c r="G125" i="12"/>
  <c r="E126" i="12" s="1"/>
  <c r="F126" i="12" s="1"/>
  <c r="E150" i="13"/>
  <c r="F150" i="13" s="1"/>
  <c r="B150" i="13"/>
  <c r="E103" i="7"/>
  <c r="F103" i="7" s="1"/>
  <c r="B103" i="7"/>
  <c r="E130" i="14" l="1"/>
  <c r="F130" i="14" s="1"/>
  <c r="G130" i="14" s="1"/>
  <c r="E131" i="14" s="1"/>
  <c r="F131" i="14" s="1"/>
  <c r="B126" i="12"/>
  <c r="G126" i="12" s="1"/>
  <c r="G150" i="13"/>
  <c r="G103" i="7"/>
  <c r="E104" i="7" s="1"/>
  <c r="F104" i="7" s="1"/>
  <c r="B131" i="14" l="1"/>
  <c r="G131" i="14" s="1"/>
  <c r="E132" i="14" s="1"/>
  <c r="F132" i="14" s="1"/>
  <c r="B151" i="13"/>
  <c r="E151" i="13"/>
  <c r="F151" i="13" s="1"/>
  <c r="B127" i="12"/>
  <c r="E127" i="12"/>
  <c r="F127" i="12" s="1"/>
  <c r="B104" i="7"/>
  <c r="G104" i="7" s="1"/>
  <c r="B105" i="7" s="1"/>
  <c r="G127" i="12" l="1"/>
  <c r="B128" i="12" s="1"/>
  <c r="B132" i="14"/>
  <c r="G132" i="14" s="1"/>
  <c r="G151" i="13"/>
  <c r="E105" i="7"/>
  <c r="F105" i="7" s="1"/>
  <c r="G105" i="7" s="1"/>
  <c r="E106" i="7" s="1"/>
  <c r="F106" i="7" s="1"/>
  <c r="E128" i="12" l="1"/>
  <c r="F128" i="12" s="1"/>
  <c r="G128" i="12" s="1"/>
  <c r="E133" i="14"/>
  <c r="F133" i="14" s="1"/>
  <c r="B133" i="14"/>
  <c r="E152" i="13"/>
  <c r="F152" i="13" s="1"/>
  <c r="B152" i="13"/>
  <c r="B106" i="7"/>
  <c r="G106" i="7" s="1"/>
  <c r="E107" i="7" s="1"/>
  <c r="F107" i="7" s="1"/>
  <c r="G133" i="14" l="1"/>
  <c r="G152" i="13"/>
  <c r="B129" i="12"/>
  <c r="E129" i="12"/>
  <c r="F129" i="12" s="1"/>
  <c r="B107" i="7"/>
  <c r="G107" i="7" s="1"/>
  <c r="B108" i="7" s="1"/>
  <c r="B134" i="14" l="1"/>
  <c r="E134" i="14"/>
  <c r="F134" i="14" s="1"/>
  <c r="E153" i="13"/>
  <c r="F153" i="13" s="1"/>
  <c r="B153" i="13"/>
  <c r="G129" i="12"/>
  <c r="E130" i="12" s="1"/>
  <c r="F130" i="12" s="1"/>
  <c r="E108" i="7"/>
  <c r="F108" i="7" s="1"/>
  <c r="G108" i="7" s="1"/>
  <c r="E109" i="7" s="1"/>
  <c r="F109" i="7" s="1"/>
  <c r="G134" i="14" l="1"/>
  <c r="B130" i="12"/>
  <c r="G130" i="12" s="1"/>
  <c r="G153" i="13"/>
  <c r="B109" i="7"/>
  <c r="G109" i="7" s="1"/>
  <c r="E110" i="7" s="1"/>
  <c r="F110" i="7" s="1"/>
  <c r="B135" i="14" l="1"/>
  <c r="E135" i="14"/>
  <c r="F135" i="14" s="1"/>
  <c r="E154" i="13"/>
  <c r="F154" i="13" s="1"/>
  <c r="B154" i="13"/>
  <c r="B131" i="12"/>
  <c r="E131" i="12"/>
  <c r="F131" i="12" s="1"/>
  <c r="B110" i="7"/>
  <c r="G110" i="7" s="1"/>
  <c r="E111" i="7" s="1"/>
  <c r="F111" i="7" s="1"/>
  <c r="G135" i="14" l="1"/>
  <c r="B136" i="14" s="1"/>
  <c r="G154" i="13"/>
  <c r="G131" i="12"/>
  <c r="E132" i="12" s="1"/>
  <c r="F132" i="12" s="1"/>
  <c r="B111" i="7"/>
  <c r="G111" i="7" s="1"/>
  <c r="B112" i="7" s="1"/>
  <c r="E136" i="14" l="1"/>
  <c r="F136" i="14" s="1"/>
  <c r="G136" i="14" s="1"/>
  <c r="E137" i="14" s="1"/>
  <c r="F137" i="14" s="1"/>
  <c r="E155" i="13"/>
  <c r="F155" i="13" s="1"/>
  <c r="B155" i="13"/>
  <c r="B132" i="12"/>
  <c r="G132" i="12" s="1"/>
  <c r="E112" i="7"/>
  <c r="F112" i="7" s="1"/>
  <c r="G112" i="7" s="1"/>
  <c r="B113" i="7" s="1"/>
  <c r="B137" i="14" l="1"/>
  <c r="G137" i="14" s="1"/>
  <c r="G155" i="13"/>
  <c r="B133" i="12"/>
  <c r="E133" i="12"/>
  <c r="F133" i="12" s="1"/>
  <c r="E113" i="7"/>
  <c r="F113" i="7" s="1"/>
  <c r="G113" i="7" s="1"/>
  <c r="B114" i="7" s="1"/>
  <c r="E138" i="14" l="1"/>
  <c r="F138" i="14" s="1"/>
  <c r="B138" i="14"/>
  <c r="E156" i="13"/>
  <c r="F156" i="13" s="1"/>
  <c r="B156" i="13"/>
  <c r="G133" i="12"/>
  <c r="E134" i="12" s="1"/>
  <c r="F134" i="12" s="1"/>
  <c r="E114" i="7"/>
  <c r="F114" i="7" s="1"/>
  <c r="G114" i="7" s="1"/>
  <c r="B115" i="7" s="1"/>
  <c r="G138" i="14" l="1"/>
  <c r="G156" i="13"/>
  <c r="B134" i="12"/>
  <c r="G134" i="12" s="1"/>
  <c r="B135" i="12" s="1"/>
  <c r="E115" i="7"/>
  <c r="F115" i="7" s="1"/>
  <c r="G115" i="7" s="1"/>
  <c r="B116" i="7" s="1"/>
  <c r="E139" i="14" l="1"/>
  <c r="F139" i="14" s="1"/>
  <c r="B139" i="14"/>
  <c r="E157" i="13"/>
  <c r="F157" i="13" s="1"/>
  <c r="B157" i="13"/>
  <c r="E135" i="12"/>
  <c r="F135" i="12" s="1"/>
  <c r="G135" i="12" s="1"/>
  <c r="E136" i="12" s="1"/>
  <c r="F136" i="12" s="1"/>
  <c r="E116" i="7"/>
  <c r="F116" i="7" s="1"/>
  <c r="G116" i="7" s="1"/>
  <c r="B117" i="7" s="1"/>
  <c r="G139" i="14" l="1"/>
  <c r="G157" i="13"/>
  <c r="B136" i="12"/>
  <c r="G136" i="12" s="1"/>
  <c r="E117" i="7"/>
  <c r="F117" i="7" s="1"/>
  <c r="G117" i="7" s="1"/>
  <c r="E118" i="7" s="1"/>
  <c r="F118" i="7" s="1"/>
  <c r="B140" i="14" l="1"/>
  <c r="E140" i="14"/>
  <c r="F140" i="14" s="1"/>
  <c r="E158" i="13"/>
  <c r="F158" i="13" s="1"/>
  <c r="B158" i="13"/>
  <c r="B137" i="12"/>
  <c r="E137" i="12"/>
  <c r="F137" i="12" s="1"/>
  <c r="B118" i="7"/>
  <c r="G118" i="7" s="1"/>
  <c r="G140" i="14" l="1"/>
  <c r="B141" i="14" s="1"/>
  <c r="G137" i="12"/>
  <c r="E138" i="12" s="1"/>
  <c r="F138" i="12" s="1"/>
  <c r="G158" i="13"/>
  <c r="E119" i="7"/>
  <c r="F119" i="7" s="1"/>
  <c r="B119" i="7"/>
  <c r="E141" i="14" l="1"/>
  <c r="F141" i="14" s="1"/>
  <c r="G141" i="14" s="1"/>
  <c r="B142" i="14" s="1"/>
  <c r="B138" i="12"/>
  <c r="G138" i="12" s="1"/>
  <c r="B139" i="12" s="1"/>
  <c r="E159" i="13"/>
  <c r="F159" i="13" s="1"/>
  <c r="B159" i="13"/>
  <c r="G119" i="7"/>
  <c r="E120" i="7" s="1"/>
  <c r="F120" i="7" s="1"/>
  <c r="E142" i="14" l="1"/>
  <c r="F142" i="14" s="1"/>
  <c r="G142" i="14" s="1"/>
  <c r="E143" i="14" s="1"/>
  <c r="F143" i="14" s="1"/>
  <c r="G159" i="13"/>
  <c r="E139" i="12"/>
  <c r="F139" i="12" s="1"/>
  <c r="G139" i="12" s="1"/>
  <c r="E140" i="12" s="1"/>
  <c r="F140" i="12" s="1"/>
  <c r="B120" i="7"/>
  <c r="G120" i="7" s="1"/>
  <c r="B143" i="14" l="1"/>
  <c r="G143" i="14" s="1"/>
  <c r="E144" i="14" s="1"/>
  <c r="F144" i="14" s="1"/>
  <c r="E160" i="13"/>
  <c r="F160" i="13" s="1"/>
  <c r="B160" i="13"/>
  <c r="B140" i="12"/>
  <c r="G140" i="12" s="1"/>
  <c r="B121" i="7"/>
  <c r="E121" i="7"/>
  <c r="F121" i="7" s="1"/>
  <c r="B144" i="14" l="1"/>
  <c r="G144" i="14" s="1"/>
  <c r="G160" i="13"/>
  <c r="B161" i="13" s="1"/>
  <c r="B141" i="12"/>
  <c r="E141" i="12"/>
  <c r="F141" i="12" s="1"/>
  <c r="G121" i="7"/>
  <c r="E122" i="7" s="1"/>
  <c r="F122" i="7" s="1"/>
  <c r="B145" i="14" l="1"/>
  <c r="E145" i="14"/>
  <c r="F145" i="14" s="1"/>
  <c r="G141" i="12"/>
  <c r="E142" i="12" s="1"/>
  <c r="F142" i="12" s="1"/>
  <c r="E161" i="13"/>
  <c r="F161" i="13" s="1"/>
  <c r="G161" i="13" s="1"/>
  <c r="E162" i="13" s="1"/>
  <c r="F162" i="13" s="1"/>
  <c r="B122" i="7"/>
  <c r="G122" i="7" s="1"/>
  <c r="E123" i="7" s="1"/>
  <c r="F123" i="7" s="1"/>
  <c r="G145" i="14" l="1"/>
  <c r="E146" i="14" s="1"/>
  <c r="F146" i="14" s="1"/>
  <c r="B142" i="12"/>
  <c r="G142" i="12" s="1"/>
  <c r="B162" i="13"/>
  <c r="G162" i="13" s="1"/>
  <c r="B123" i="7"/>
  <c r="G123" i="7" s="1"/>
  <c r="E124" i="7" s="1"/>
  <c r="F124" i="7" s="1"/>
  <c r="B146" i="14" l="1"/>
  <c r="G146" i="14" s="1"/>
  <c r="B163" i="13"/>
  <c r="E163" i="13"/>
  <c r="F163" i="13" s="1"/>
  <c r="B143" i="12"/>
  <c r="E143" i="12"/>
  <c r="F143" i="12" s="1"/>
  <c r="B124" i="7"/>
  <c r="G124" i="7" s="1"/>
  <c r="B125" i="7" s="1"/>
  <c r="G163" i="13" l="1"/>
  <c r="E164" i="13" s="1"/>
  <c r="F164" i="13" s="1"/>
  <c r="E147" i="14"/>
  <c r="F147" i="14" s="1"/>
  <c r="B147" i="14"/>
  <c r="G143" i="12"/>
  <c r="B144" i="12" s="1"/>
  <c r="E125" i="7"/>
  <c r="F125" i="7" s="1"/>
  <c r="G125" i="7" s="1"/>
  <c r="B126" i="7" s="1"/>
  <c r="B164" i="13" l="1"/>
  <c r="G164" i="13" s="1"/>
  <c r="G147" i="14"/>
  <c r="E144" i="12"/>
  <c r="F144" i="12" s="1"/>
  <c r="G144" i="12" s="1"/>
  <c r="E126" i="7"/>
  <c r="F126" i="7" s="1"/>
  <c r="G126" i="7" s="1"/>
  <c r="B127" i="7" s="1"/>
  <c r="E148" i="14" l="1"/>
  <c r="F148" i="14" s="1"/>
  <c r="B148" i="14"/>
  <c r="B165" i="13"/>
  <c r="E165" i="13"/>
  <c r="F165" i="13" s="1"/>
  <c r="B145" i="12"/>
  <c r="E145" i="12"/>
  <c r="F145" i="12" s="1"/>
  <c r="E127" i="7"/>
  <c r="F127" i="7" s="1"/>
  <c r="G127" i="7" s="1"/>
  <c r="B128" i="7" s="1"/>
  <c r="G145" i="12" l="1"/>
  <c r="E146" i="12" s="1"/>
  <c r="F146" i="12" s="1"/>
  <c r="G148" i="14"/>
  <c r="E149" i="14" s="1"/>
  <c r="F149" i="14" s="1"/>
  <c r="G165" i="13"/>
  <c r="E128" i="7"/>
  <c r="F128" i="7" s="1"/>
  <c r="G128" i="7" s="1"/>
  <c r="E129" i="7" s="1"/>
  <c r="F129" i="7" s="1"/>
  <c r="B149" i="14" l="1"/>
  <c r="G149" i="14" s="1"/>
  <c r="B146" i="12"/>
  <c r="G146" i="12" s="1"/>
  <c r="B129" i="7"/>
  <c r="G129" i="7" s="1"/>
  <c r="E130" i="7" s="1"/>
  <c r="F130" i="7" s="1"/>
  <c r="B150" i="14" l="1"/>
  <c r="E150" i="14"/>
  <c r="F150" i="14" s="1"/>
  <c r="B147" i="12"/>
  <c r="E147" i="12"/>
  <c r="F147" i="12" s="1"/>
  <c r="B130" i="7"/>
  <c r="G130" i="7" s="1"/>
  <c r="E131" i="7" s="1"/>
  <c r="F131" i="7" s="1"/>
  <c r="G150" i="14" l="1"/>
  <c r="B151" i="14" s="1"/>
  <c r="G147" i="12"/>
  <c r="E148" i="12" s="1"/>
  <c r="F148" i="12" s="1"/>
  <c r="B131" i="7"/>
  <c r="G131" i="7" s="1"/>
  <c r="B132" i="7" s="1"/>
  <c r="E151" i="14" l="1"/>
  <c r="F151" i="14" s="1"/>
  <c r="G151" i="14" s="1"/>
  <c r="E152" i="14" s="1"/>
  <c r="F152" i="14" s="1"/>
  <c r="B148" i="12"/>
  <c r="G148" i="12" s="1"/>
  <c r="E132" i="7"/>
  <c r="F132" i="7" s="1"/>
  <c r="G132" i="7" s="1"/>
  <c r="E133" i="7" s="1"/>
  <c r="F133" i="7" s="1"/>
  <c r="B152" i="14" l="1"/>
  <c r="G152" i="14" s="1"/>
  <c r="B153" i="14" s="1"/>
  <c r="B149" i="12"/>
  <c r="E149" i="12"/>
  <c r="F149" i="12" s="1"/>
  <c r="B133" i="7"/>
  <c r="G133" i="7" s="1"/>
  <c r="E153" i="14" l="1"/>
  <c r="F153" i="14" s="1"/>
  <c r="G153" i="14" s="1"/>
  <c r="E154" i="14" s="1"/>
  <c r="F154" i="14" s="1"/>
  <c r="G149" i="12"/>
  <c r="E150" i="12" s="1"/>
  <c r="F150" i="12" s="1"/>
  <c r="E134" i="7"/>
  <c r="F134" i="7" s="1"/>
  <c r="B134" i="7"/>
  <c r="B150" i="12" l="1"/>
  <c r="G150" i="12" s="1"/>
  <c r="B151" i="12" s="1"/>
  <c r="B154" i="14"/>
  <c r="G154" i="14" s="1"/>
  <c r="E155" i="14" s="1"/>
  <c r="F155" i="14" s="1"/>
  <c r="G134" i="7"/>
  <c r="B155" i="14" l="1"/>
  <c r="G155" i="14" s="1"/>
  <c r="E151" i="12"/>
  <c r="F151" i="12" s="1"/>
  <c r="G151" i="12" s="1"/>
  <c r="E152" i="12" s="1"/>
  <c r="F152" i="12" s="1"/>
  <c r="B135" i="7"/>
  <c r="E135" i="7"/>
  <c r="F135" i="7" s="1"/>
  <c r="E156" i="14" l="1"/>
  <c r="F156" i="14" s="1"/>
  <c r="B156" i="14"/>
  <c r="B152" i="12"/>
  <c r="G152" i="12" s="1"/>
  <c r="B153" i="12" s="1"/>
  <c r="G135" i="7"/>
  <c r="B136" i="7" s="1"/>
  <c r="G156" i="14" l="1"/>
  <c r="B157" i="14" s="1"/>
  <c r="E153" i="12"/>
  <c r="F153" i="12" s="1"/>
  <c r="G153" i="12" s="1"/>
  <c r="E154" i="12" s="1"/>
  <c r="F154" i="12" s="1"/>
  <c r="E136" i="7"/>
  <c r="F136" i="7" s="1"/>
  <c r="G136" i="7" s="1"/>
  <c r="B137" i="7" s="1"/>
  <c r="E157" i="14" l="1"/>
  <c r="F157" i="14" s="1"/>
  <c r="G157" i="14" s="1"/>
  <c r="B154" i="12"/>
  <c r="G154" i="12" s="1"/>
  <c r="E137" i="7"/>
  <c r="F137" i="7" s="1"/>
  <c r="G137" i="7" s="1"/>
  <c r="B138" i="7" s="1"/>
  <c r="B158" i="14" l="1"/>
  <c r="E158" i="14"/>
  <c r="F158" i="14" s="1"/>
  <c r="B155" i="12"/>
  <c r="E155" i="12"/>
  <c r="F155" i="12" s="1"/>
  <c r="E138" i="7"/>
  <c r="F138" i="7" s="1"/>
  <c r="G138" i="7" s="1"/>
  <c r="B139" i="7" s="1"/>
  <c r="G158" i="14" l="1"/>
  <c r="B159" i="14" s="1"/>
  <c r="G155" i="12"/>
  <c r="E156" i="12" s="1"/>
  <c r="F156" i="12" s="1"/>
  <c r="E139" i="7"/>
  <c r="F139" i="7" s="1"/>
  <c r="G139" i="7" s="1"/>
  <c r="B140" i="7" s="1"/>
  <c r="E159" i="14" l="1"/>
  <c r="F159" i="14" s="1"/>
  <c r="G159" i="14" s="1"/>
  <c r="E160" i="14" s="1"/>
  <c r="F160" i="14" s="1"/>
  <c r="B156" i="12"/>
  <c r="G156" i="12" s="1"/>
  <c r="E140" i="7"/>
  <c r="F140" i="7" s="1"/>
  <c r="G140" i="7" s="1"/>
  <c r="B141" i="7" s="1"/>
  <c r="B160" i="14" l="1"/>
  <c r="G160" i="14" s="1"/>
  <c r="B157" i="12"/>
  <c r="E157" i="12"/>
  <c r="F157" i="12" s="1"/>
  <c r="E141" i="7"/>
  <c r="F141" i="7" s="1"/>
  <c r="G141" i="7" s="1"/>
  <c r="E142" i="7" s="1"/>
  <c r="F142" i="7" s="1"/>
  <c r="G157" i="12" l="1"/>
  <c r="E158" i="12" s="1"/>
  <c r="F158" i="12" s="1"/>
  <c r="B161" i="14"/>
  <c r="E161" i="14"/>
  <c r="F161" i="14" s="1"/>
  <c r="B142" i="7"/>
  <c r="G142" i="7" s="1"/>
  <c r="E143" i="7" s="1"/>
  <c r="F143" i="7" s="1"/>
  <c r="B158" i="12" l="1"/>
  <c r="G158" i="12" s="1"/>
  <c r="G161" i="14"/>
  <c r="B162" i="14" s="1"/>
  <c r="B143" i="7"/>
  <c r="G143" i="7" s="1"/>
  <c r="E144" i="7" s="1"/>
  <c r="F144" i="7" s="1"/>
  <c r="E162" i="14" l="1"/>
  <c r="F162" i="14" s="1"/>
  <c r="G162" i="14" s="1"/>
  <c r="B163" i="14" s="1"/>
  <c r="B159" i="12"/>
  <c r="E159" i="12"/>
  <c r="F159" i="12" s="1"/>
  <c r="B144" i="7"/>
  <c r="G144" i="7" s="1"/>
  <c r="G159" i="12" l="1"/>
  <c r="E160" i="12" s="1"/>
  <c r="F160" i="12" s="1"/>
  <c r="E163" i="14"/>
  <c r="F163" i="14" s="1"/>
  <c r="G163" i="14" s="1"/>
  <c r="E164" i="14" s="1"/>
  <c r="F164" i="14" s="1"/>
  <c r="E145" i="7"/>
  <c r="F145" i="7" s="1"/>
  <c r="B145" i="7"/>
  <c r="B160" i="12" l="1"/>
  <c r="G160" i="12" s="1"/>
  <c r="B164" i="14"/>
  <c r="G164" i="14" s="1"/>
  <c r="G145" i="7"/>
  <c r="E146" i="7" s="1"/>
  <c r="F146" i="7" s="1"/>
  <c r="B165" i="14" l="1"/>
  <c r="E165" i="14"/>
  <c r="F165" i="14" s="1"/>
  <c r="B161" i="12"/>
  <c r="E161" i="12"/>
  <c r="F161" i="12" s="1"/>
  <c r="B146" i="7"/>
  <c r="G146" i="7" s="1"/>
  <c r="G161" i="12" l="1"/>
  <c r="E162" i="12" s="1"/>
  <c r="F162" i="12" s="1"/>
  <c r="G165" i="14"/>
  <c r="E147" i="7"/>
  <c r="F147" i="7" s="1"/>
  <c r="B147" i="7"/>
  <c r="B162" i="12" l="1"/>
  <c r="G162" i="12" s="1"/>
  <c r="B163" i="12" s="1"/>
  <c r="G147" i="7"/>
  <c r="B148" i="7" s="1"/>
  <c r="E163" i="12" l="1"/>
  <c r="F163" i="12" s="1"/>
  <c r="G163" i="12" s="1"/>
  <c r="E164" i="12" s="1"/>
  <c r="F164" i="12" s="1"/>
  <c r="E148" i="7"/>
  <c r="F148" i="7" s="1"/>
  <c r="G148" i="7" s="1"/>
  <c r="B164" i="12" l="1"/>
  <c r="G164" i="12" s="1"/>
  <c r="E149" i="7"/>
  <c r="F149" i="7" s="1"/>
  <c r="B149" i="7"/>
  <c r="B165" i="12" l="1"/>
  <c r="E165" i="12"/>
  <c r="F165" i="12" s="1"/>
  <c r="G149" i="7"/>
  <c r="B150" i="7" s="1"/>
  <c r="G165" i="12" l="1"/>
  <c r="E150" i="7"/>
  <c r="F150" i="7" s="1"/>
  <c r="G150" i="7" s="1"/>
  <c r="B151" i="7" l="1"/>
  <c r="E151" i="7"/>
  <c r="F151" i="7" s="1"/>
  <c r="G151" i="7" l="1"/>
  <c r="B152" i="7" l="1"/>
  <c r="E152" i="7"/>
  <c r="F152" i="7" s="1"/>
  <c r="G152" i="7" l="1"/>
  <c r="B153" i="7" l="1"/>
  <c r="E153" i="7"/>
  <c r="F153" i="7" s="1"/>
  <c r="G153" i="7" l="1"/>
  <c r="E154" i="7" s="1"/>
  <c r="F154" i="7" s="1"/>
  <c r="B154" i="7" l="1"/>
  <c r="G154" i="7" s="1"/>
  <c r="E155" i="7" s="1"/>
  <c r="F155" i="7" s="1"/>
  <c r="B155" i="7" l="1"/>
  <c r="G155" i="7" s="1"/>
  <c r="B156" i="7" l="1"/>
  <c r="E156" i="7"/>
  <c r="F156" i="7" s="1"/>
  <c r="G156" i="7" l="1"/>
  <c r="E157" i="7" s="1"/>
  <c r="F157" i="7" s="1"/>
  <c r="B157" i="7" l="1"/>
  <c r="G157" i="7" s="1"/>
  <c r="B158" i="7" s="1"/>
  <c r="E158" i="7" l="1"/>
  <c r="F158" i="7" s="1"/>
  <c r="G158" i="7" s="1"/>
  <c r="B159" i="7" s="1"/>
  <c r="E159" i="7" l="1"/>
  <c r="F159" i="7" s="1"/>
  <c r="G159" i="7" s="1"/>
  <c r="B160" i="7" s="1"/>
  <c r="E160" i="7" l="1"/>
  <c r="F160" i="7" s="1"/>
  <c r="G160" i="7" s="1"/>
  <c r="E161" i="7" s="1"/>
  <c r="F161" i="7" s="1"/>
  <c r="B161" i="7" l="1"/>
  <c r="G161" i="7" s="1"/>
  <c r="B162" i="7" s="1"/>
  <c r="E162" i="7" l="1"/>
  <c r="F162" i="7" s="1"/>
  <c r="G162" i="7" s="1"/>
  <c r="E163" i="7" s="1"/>
  <c r="F163" i="7" s="1"/>
  <c r="B163" i="7" l="1"/>
  <c r="G163" i="7" s="1"/>
  <c r="E164" i="7" s="1"/>
  <c r="F164" i="7" s="1"/>
  <c r="B164" i="7" l="1"/>
  <c r="G164" i="7" s="1"/>
  <c r="B165" i="7" l="1"/>
  <c r="E165" i="7"/>
  <c r="F165" i="7" s="1"/>
  <c r="G165" i="7" l="1"/>
  <c r="S14" i="11" l="1"/>
  <c r="P14" i="11"/>
  <c r="Q14" i="11"/>
  <c r="R14" i="11"/>
  <c r="Q62" i="1" l="1"/>
  <c r="R62" i="1"/>
  <c r="Q6" i="11"/>
  <c r="P62" i="1"/>
  <c r="P6" i="11"/>
  <c r="R6" i="11" l="1"/>
  <c r="R23" i="11" s="1"/>
  <c r="R26" i="11" s="1"/>
  <c r="S6" i="11"/>
  <c r="S23" i="11" s="1"/>
  <c r="S26" i="11" s="1"/>
  <c r="Q24" i="6"/>
  <c r="Q50" i="6" s="1"/>
  <c r="R44" i="11" l="1"/>
  <c r="S44" i="11"/>
  <c r="P66" i="1"/>
  <c r="S62" i="1"/>
  <c r="R24" i="6"/>
  <c r="R50" i="6" s="1"/>
  <c r="Q11" i="11" l="1"/>
  <c r="C11" i="11"/>
  <c r="D8" i="6" s="1"/>
  <c r="E11" i="11"/>
  <c r="P11" i="11"/>
  <c r="I11" i="11"/>
  <c r="D11" i="11"/>
  <c r="G11" i="11"/>
  <c r="H11" i="11"/>
  <c r="J11" i="11"/>
  <c r="M11" i="11"/>
  <c r="F11" i="11"/>
  <c r="N11" i="11"/>
  <c r="L11" i="11"/>
  <c r="K11" i="11"/>
  <c r="C10" i="11"/>
  <c r="D7" i="6" s="1"/>
  <c r="P10" i="11"/>
  <c r="K10" i="11"/>
  <c r="G10" i="11"/>
  <c r="H10" i="11"/>
  <c r="F10" i="11"/>
  <c r="D10" i="11"/>
  <c r="L10" i="11"/>
  <c r="J10" i="11"/>
  <c r="N10" i="11"/>
  <c r="M10" i="11"/>
  <c r="I10" i="11"/>
  <c r="E10" i="11"/>
  <c r="Q66" i="1"/>
  <c r="S24" i="6"/>
  <c r="S50" i="6" s="1"/>
  <c r="E8" i="6" l="1"/>
  <c r="F8" i="6" s="1"/>
  <c r="G8" i="6" s="1"/>
  <c r="H8" i="6" s="1"/>
  <c r="I8" i="6" s="1"/>
  <c r="J8" i="6" s="1"/>
  <c r="K8" i="6" s="1"/>
  <c r="L8" i="6" s="1"/>
  <c r="M8" i="6" s="1"/>
  <c r="N8" i="6" s="1"/>
  <c r="O8" i="6" s="1"/>
  <c r="P8" i="6" s="1"/>
  <c r="Q8" i="6" s="1"/>
  <c r="R8" i="6" s="1"/>
  <c r="S8" i="6" s="1"/>
  <c r="T8" i="6" s="1"/>
  <c r="P23" i="11"/>
  <c r="P26" i="11" s="1"/>
  <c r="P44" i="11" s="1"/>
  <c r="E7" i="6"/>
  <c r="F7" i="6" s="1"/>
  <c r="G7" i="6" s="1"/>
  <c r="H7" i="6" s="1"/>
  <c r="I7" i="6" s="1"/>
  <c r="J7" i="6" s="1"/>
  <c r="K7" i="6" s="1"/>
  <c r="L7" i="6" s="1"/>
  <c r="M7" i="6" s="1"/>
  <c r="N7" i="6" s="1"/>
  <c r="O7" i="6" s="1"/>
  <c r="G23" i="11"/>
  <c r="G26" i="11" s="1"/>
  <c r="G44" i="11" s="1"/>
  <c r="F23" i="11"/>
  <c r="F26" i="11" s="1"/>
  <c r="F44" i="11" s="1"/>
  <c r="H23" i="11"/>
  <c r="H26" i="11" s="1"/>
  <c r="H44" i="11" s="1"/>
  <c r="J23" i="11"/>
  <c r="M23" i="11"/>
  <c r="N23" i="11"/>
  <c r="E23" i="11"/>
  <c r="L23" i="11"/>
  <c r="I23" i="11"/>
  <c r="D23" i="11"/>
  <c r="K23" i="11"/>
  <c r="Q23" i="11"/>
  <c r="D10" i="6"/>
  <c r="O10" i="11"/>
  <c r="O11" i="11"/>
  <c r="C23" i="11"/>
  <c r="C26" i="11" s="1"/>
  <c r="C44" i="11" s="1"/>
  <c r="R66" i="1"/>
  <c r="T24" i="6"/>
  <c r="T50" i="6" s="1"/>
  <c r="O23" i="11" l="1"/>
  <c r="O26" i="11" s="1"/>
  <c r="O44" i="11" s="1"/>
  <c r="C46" i="11"/>
  <c r="D32" i="6" s="1"/>
  <c r="D26" i="11"/>
  <c r="D44" i="11" s="1"/>
  <c r="N26" i="11"/>
  <c r="N44" i="11" s="1"/>
  <c r="I26" i="11"/>
  <c r="I44" i="11" s="1"/>
  <c r="M26" i="11"/>
  <c r="M44" i="11" s="1"/>
  <c r="Q26" i="11"/>
  <c r="Q44" i="11" s="1"/>
  <c r="L26" i="11"/>
  <c r="L44" i="11" s="1"/>
  <c r="J26" i="11"/>
  <c r="J44" i="11" s="1"/>
  <c r="K26" i="11"/>
  <c r="K44" i="11" s="1"/>
  <c r="E26" i="11"/>
  <c r="E44" i="11" s="1"/>
  <c r="E10" i="6"/>
  <c r="S66" i="1"/>
  <c r="D40" i="6" l="1"/>
  <c r="D45" i="11"/>
  <c r="D46" i="11" s="1"/>
  <c r="D16" i="6"/>
  <c r="D17" i="6" s="1"/>
  <c r="D18" i="6" s="1"/>
  <c r="O46" i="11"/>
  <c r="P45" i="11" s="1"/>
  <c r="P46" i="11" s="1"/>
  <c r="F10" i="6"/>
  <c r="D46" i="6" l="1"/>
  <c r="D41" i="6"/>
  <c r="D42" i="6" s="1"/>
  <c r="D45" i="6"/>
  <c r="Q16" i="6"/>
  <c r="Q17" i="6" s="1"/>
  <c r="Q32" i="6"/>
  <c r="E16" i="6"/>
  <c r="E17" i="6" s="1"/>
  <c r="E18" i="6" s="1"/>
  <c r="E32" i="6"/>
  <c r="C67" i="1"/>
  <c r="Q45" i="11"/>
  <c r="Q46" i="11" s="1"/>
  <c r="E45" i="11"/>
  <c r="G10" i="6"/>
  <c r="Q40" i="6" l="1"/>
  <c r="Q46" i="6" s="1"/>
  <c r="R16" i="6"/>
  <c r="R17" i="6" s="1"/>
  <c r="R32" i="6"/>
  <c r="E40" i="6"/>
  <c r="E46" i="6" s="1"/>
  <c r="R45" i="11"/>
  <c r="R46" i="11" s="1"/>
  <c r="E46" i="11"/>
  <c r="H10" i="6"/>
  <c r="E41" i="6" l="1"/>
  <c r="E42" i="6" s="1"/>
  <c r="E45" i="6"/>
  <c r="Q41" i="6"/>
  <c r="Q45" i="6"/>
  <c r="R40" i="6"/>
  <c r="R46" i="6" s="1"/>
  <c r="S16" i="6"/>
  <c r="S17" i="6" s="1"/>
  <c r="S32" i="6"/>
  <c r="F16" i="6"/>
  <c r="F17" i="6" s="1"/>
  <c r="F18" i="6" s="1"/>
  <c r="F32" i="6"/>
  <c r="D67" i="1"/>
  <c r="S45" i="11"/>
  <c r="S46" i="11" s="1"/>
  <c r="F45" i="11"/>
  <c r="F46" i="11" s="1"/>
  <c r="I10" i="6"/>
  <c r="R41" i="6" l="1"/>
  <c r="R45" i="6"/>
  <c r="T16" i="6"/>
  <c r="T17" i="6" s="1"/>
  <c r="T32" i="6"/>
  <c r="S40" i="6"/>
  <c r="S46" i="6" s="1"/>
  <c r="F40" i="6"/>
  <c r="F46" i="6" s="1"/>
  <c r="G16" i="6"/>
  <c r="G32" i="6"/>
  <c r="G45" i="11"/>
  <c r="G46" i="11" s="1"/>
  <c r="J10" i="6"/>
  <c r="S41" i="6" l="1"/>
  <c r="S45" i="6"/>
  <c r="F41" i="6"/>
  <c r="F42" i="6" s="1"/>
  <c r="F45" i="6"/>
  <c r="E67" i="1"/>
  <c r="T40" i="6"/>
  <c r="T46" i="6" s="1"/>
  <c r="H16" i="6"/>
  <c r="H32" i="6"/>
  <c r="G40" i="6"/>
  <c r="G17" i="6"/>
  <c r="G18" i="6" s="1"/>
  <c r="H45" i="11"/>
  <c r="H46" i="11" s="1"/>
  <c r="K10" i="6"/>
  <c r="G46" i="6" l="1"/>
  <c r="G41" i="6"/>
  <c r="G42" i="6" s="1"/>
  <c r="G45" i="6"/>
  <c r="T41" i="6"/>
  <c r="T45" i="6"/>
  <c r="I16" i="6"/>
  <c r="I32" i="6"/>
  <c r="H40" i="6"/>
  <c r="H17" i="6"/>
  <c r="H18" i="6" s="1"/>
  <c r="F67" i="1"/>
  <c r="I45" i="11"/>
  <c r="I46" i="11" s="1"/>
  <c r="L10" i="6"/>
  <c r="H46" i="6" l="1"/>
  <c r="H41" i="6"/>
  <c r="H42" i="6" s="1"/>
  <c r="H45" i="6"/>
  <c r="J16" i="6"/>
  <c r="J32" i="6"/>
  <c r="I40" i="6"/>
  <c r="J45" i="11"/>
  <c r="J46" i="11" s="1"/>
  <c r="I17" i="6"/>
  <c r="I18" i="6" s="1"/>
  <c r="G67" i="1"/>
  <c r="M10" i="6"/>
  <c r="I46" i="6" l="1"/>
  <c r="I41" i="6"/>
  <c r="I42" i="6" s="1"/>
  <c r="I45" i="6"/>
  <c r="J40" i="6"/>
  <c r="K16" i="6"/>
  <c r="K32" i="6"/>
  <c r="J17" i="6"/>
  <c r="J18" i="6" s="1"/>
  <c r="H67" i="1"/>
  <c r="K45" i="11"/>
  <c r="K46" i="11" s="1"/>
  <c r="N10" i="6"/>
  <c r="J46" i="6" l="1"/>
  <c r="J41" i="6"/>
  <c r="J42" i="6" s="1"/>
  <c r="J45" i="6"/>
  <c r="L16" i="6"/>
  <c r="L32" i="6"/>
  <c r="K40" i="6"/>
  <c r="K17" i="6"/>
  <c r="K18" i="6" s="1"/>
  <c r="L45" i="11"/>
  <c r="L46" i="11" s="1"/>
  <c r="I67" i="1"/>
  <c r="P7" i="6"/>
  <c r="Q7" i="6" s="1"/>
  <c r="R7" i="6" s="1"/>
  <c r="S7" i="6" s="1"/>
  <c r="T7" i="6" s="1"/>
  <c r="O10" i="6"/>
  <c r="K46" i="6" l="1"/>
  <c r="K41" i="6"/>
  <c r="K42" i="6" s="1"/>
  <c r="K45" i="6"/>
  <c r="M16" i="6"/>
  <c r="M32" i="6"/>
  <c r="L40" i="6"/>
  <c r="L17" i="6"/>
  <c r="L18" i="6" s="1"/>
  <c r="J67" i="1"/>
  <c r="M45" i="11"/>
  <c r="M46" i="11" s="1"/>
  <c r="P10" i="6"/>
  <c r="L46" i="6" l="1"/>
  <c r="L41" i="6"/>
  <c r="L42" i="6" s="1"/>
  <c r="L45" i="6"/>
  <c r="N16" i="6"/>
  <c r="N32" i="6"/>
  <c r="M40" i="6"/>
  <c r="N45" i="11"/>
  <c r="K67" i="1"/>
  <c r="M17" i="6"/>
  <c r="M18" i="6" s="1"/>
  <c r="Q10" i="6"/>
  <c r="Q18" i="6" s="1"/>
  <c r="M46" i="6" l="1"/>
  <c r="M41" i="6"/>
  <c r="M42" i="6" s="1"/>
  <c r="M45" i="6"/>
  <c r="N40" i="6"/>
  <c r="L67" i="1"/>
  <c r="N17" i="6"/>
  <c r="N18" i="6" s="1"/>
  <c r="N46" i="11"/>
  <c r="O32" i="6" s="1"/>
  <c r="R10" i="6"/>
  <c r="R18" i="6" s="1"/>
  <c r="P67" i="1"/>
  <c r="Q42" i="6"/>
  <c r="N46" i="6" l="1"/>
  <c r="N41" i="6"/>
  <c r="N42" i="6" s="1"/>
  <c r="N45" i="6"/>
  <c r="P32" i="6"/>
  <c r="O40" i="6"/>
  <c r="O16" i="6"/>
  <c r="P16" i="6" s="1"/>
  <c r="M67" i="1"/>
  <c r="S10" i="6"/>
  <c r="S18" i="6" s="1"/>
  <c r="T10" i="6"/>
  <c r="T18" i="6" s="1"/>
  <c r="Q67" i="1"/>
  <c r="R42" i="6"/>
  <c r="O41" i="6" l="1"/>
  <c r="P40" i="6"/>
  <c r="O17" i="6"/>
  <c r="O18" i="6" s="1"/>
  <c r="N67" i="1" s="1"/>
  <c r="P17" i="6"/>
  <c r="P18" i="6" s="1"/>
  <c r="S67" i="1"/>
  <c r="T42" i="6"/>
  <c r="R67" i="1"/>
  <c r="S42" i="6"/>
  <c r="O45" i="6" l="1"/>
  <c r="P46" i="6"/>
  <c r="O46" i="6"/>
  <c r="P41" i="6"/>
  <c r="P42" i="6" s="1"/>
  <c r="P45" i="6"/>
  <c r="O42" i="6"/>
  <c r="O67" i="1"/>
</calcChain>
</file>

<file path=xl/sharedStrings.xml><?xml version="1.0" encoding="utf-8"?>
<sst xmlns="http://schemas.openxmlformats.org/spreadsheetml/2006/main" count="678" uniqueCount="438">
  <si>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</si>
  <si>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</si>
  <si>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</si>
  <si>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</si>
  <si>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</si>
  <si>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</si>
  <si>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</si>
  <si>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</si>
  <si>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</si>
  <si>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</si>
  <si>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</si>
  <si>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</si>
  <si>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</si>
  <si>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</si>
  <si>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</si>
  <si>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</si>
  <si>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</si>
  <si>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</si>
  <si>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</si>
  <si>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</si>
  <si>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</si>
  <si>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</si>
  <si>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</si>
  <si>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</si>
  <si>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</si>
  <si>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</si>
  <si>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</si>
  <si>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</si>
  <si>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</si>
  <si>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</si>
  <si>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</si>
  <si>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</si>
  <si>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</si>
  <si>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</si>
  <si>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</si>
  <si>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</si>
  <si>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</si>
  <si>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</si>
  <si>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</si>
  <si>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</si>
  <si>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</si>
  <si>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</si>
  <si>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</si>
  <si>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</si>
  <si>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</si>
  <si>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</si>
  <si>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Month</t>
  </si>
  <si>
    <t>Instructions</t>
  </si>
  <si>
    <t>Loan Terms</t>
  </si>
  <si>
    <t>Property, Plant &amp; Equipment</t>
  </si>
  <si>
    <t>Interest Cover</t>
  </si>
  <si>
    <t>Current Ratio</t>
  </si>
  <si>
    <t>Quick Ratio</t>
  </si>
  <si>
    <t>Debt / Equity</t>
  </si>
  <si>
    <t>Return on Equity (ROE)</t>
  </si>
  <si>
    <t>Return on Net Assets (RONA)</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</si>
  <si>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</si>
  <si>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</si>
  <si>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</si>
  <si>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</si>
  <si>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following sheets are included in the template:</t>
  </si>
  <si>
    <t>Business Name</t>
  </si>
  <si>
    <t>Cash Flow Projections - Assumptions</t>
  </si>
  <si>
    <t>Cash Flow Projections - Income Statement</t>
  </si>
  <si>
    <t>Profit / (Loss) before Interest &amp; Tax</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</si>
  <si>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</si>
  <si>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</si>
  <si>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</si>
  <si>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</si>
  <si>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</si>
  <si>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</si>
  <si>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</si>
  <si>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</si>
  <si>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</si>
  <si>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</si>
  <si>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</si>
  <si>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</si>
  <si>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</si>
  <si>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</si>
  <si>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</si>
  <si>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</si>
  <si>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</si>
  <si>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Proceeds from loans</t>
  </si>
  <si>
    <t>Net cash from financing activities</t>
  </si>
  <si>
    <t>Increase / (Decrease) in cash equivalents</t>
  </si>
  <si>
    <t>Cash &amp; cash equivalents at beginning of year</t>
  </si>
  <si>
    <t>Cash &amp; cash equivalents at end of year</t>
  </si>
  <si>
    <t>Year 2</t>
  </si>
  <si>
    <t>Year 3</t>
  </si>
  <si>
    <t>Year 4</t>
  </si>
  <si>
    <t>Year 5</t>
  </si>
  <si>
    <t>Monthly turnover projections for the first year need to be entered on the IncState worksheet.</t>
  </si>
  <si>
    <t>Annual Turnover Growth %</t>
  </si>
  <si>
    <t>Annual Depreciation Charges</t>
  </si>
  <si>
    <t>Excel Skills | Business Plan Cash Flow Forecast Template</t>
  </si>
  <si>
    <t>Days in period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</si>
  <si>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</si>
  <si>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</si>
  <si>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</si>
  <si>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</si>
  <si>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</si>
  <si>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</si>
  <si>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</si>
  <si>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</si>
  <si>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</si>
  <si>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</si>
  <si>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</si>
  <si>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</si>
  <si>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</si>
  <si>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</si>
  <si>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</si>
  <si>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</si>
  <si>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</si>
  <si>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</si>
  <si>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</si>
  <si>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</si>
  <si>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</si>
  <si>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</si>
  <si>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</si>
  <si>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</si>
  <si>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</si>
  <si>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</si>
  <si>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</si>
  <si>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</si>
  <si>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</si>
  <si>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</si>
  <si>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</si>
  <si>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</si>
  <si>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</si>
  <si>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</si>
  <si>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t>
  </si>
  <si>
    <t>Payroll Accruals</t>
  </si>
  <si>
    <t>ACC</t>
  </si>
  <si>
    <t>Accruals</t>
  </si>
  <si>
    <t>TAX</t>
  </si>
  <si>
    <t>Provision For Taxation</t>
  </si>
  <si>
    <t>OPV</t>
  </si>
  <si>
    <t>Other Provisions</t>
  </si>
  <si>
    <t>ASSETS</t>
  </si>
  <si>
    <t>Non-Current Assets</t>
  </si>
  <si>
    <t>EQUITY &amp; LIABILITIES</t>
  </si>
  <si>
    <t>Equity</t>
  </si>
  <si>
    <t>Non-Current Liabilities</t>
  </si>
  <si>
    <t>Other Accruals</t>
  </si>
  <si>
    <t>Total Equity &amp; Liabilities</t>
  </si>
  <si>
    <t>Product Sales</t>
  </si>
  <si>
    <t>Income From Services</t>
  </si>
  <si>
    <t>Total Turnover</t>
  </si>
  <si>
    <t>Products</t>
  </si>
  <si>
    <t>Services</t>
  </si>
  <si>
    <t>Total Cost of Sales</t>
  </si>
  <si>
    <t>Total Gross Profit</t>
  </si>
  <si>
    <t>V1C1</t>
  </si>
  <si>
    <t>V1C0</t>
  </si>
  <si>
    <t>Operating Expenses</t>
  </si>
  <si>
    <t>Total Operating Expenses</t>
  </si>
  <si>
    <t>Monthly gross profit percentages for the first year and annual gross profit percentages for year 2 to 5 need to be entered on the IncState worksheet.</t>
  </si>
  <si>
    <t>Staff Costs</t>
  </si>
  <si>
    <t>Salaries</t>
  </si>
  <si>
    <t>Wages</t>
  </si>
  <si>
    <t>Total Staff Costs</t>
  </si>
  <si>
    <t>Depreciation &amp; Amortization</t>
  </si>
  <si>
    <t>DEP</t>
  </si>
  <si>
    <t>AMT</t>
  </si>
  <si>
    <t>Amortization</t>
  </si>
  <si>
    <t>Total Depreciation &amp; Amortization</t>
  </si>
  <si>
    <t>Annual Amortization Charges</t>
  </si>
  <si>
    <t>Interest Paid</t>
  </si>
  <si>
    <t>INT</t>
  </si>
  <si>
    <t>Interest - Loans 1</t>
  </si>
  <si>
    <t>Interest - Loans 2</t>
  </si>
  <si>
    <t>Interest - Loans 3</t>
  </si>
  <si>
    <t>Interest - Leases</t>
  </si>
  <si>
    <t>Total Interest Paid</t>
  </si>
  <si>
    <t>Profit / (Loss) before tax</t>
  </si>
  <si>
    <t>Cash Flow Projections - Repayment Schedule - Loans 1</t>
  </si>
  <si>
    <t>Cash Flow Projections - Repayment Schedule - Loans 2</t>
  </si>
  <si>
    <t>Cash Flow Projections - Repayment Schedule - Loans 3</t>
  </si>
  <si>
    <t>Cash Flow Projections - Repayment Schedule - Finance Leases</t>
  </si>
  <si>
    <t>Loans 1</t>
  </si>
  <si>
    <t>Loans 2</t>
  </si>
  <si>
    <t>Loans 3</t>
  </si>
  <si>
    <t>Leases</t>
  </si>
  <si>
    <t>Income Tax</t>
  </si>
  <si>
    <t>Assessed Loss Carried Over</t>
  </si>
  <si>
    <t>Payment Frequency (Months)</t>
  </si>
  <si>
    <t>First Payment Month</t>
  </si>
  <si>
    <t>Current Or Subsequent</t>
  </si>
  <si>
    <t>Current</t>
  </si>
  <si>
    <t>Rates</t>
  </si>
  <si>
    <t>V1</t>
  </si>
  <si>
    <t>Standard</t>
  </si>
  <si>
    <t>V2</t>
  </si>
  <si>
    <t>Secondary</t>
  </si>
  <si>
    <t>V3</t>
  </si>
  <si>
    <t>Zero Rated</t>
  </si>
  <si>
    <t>V4</t>
  </si>
  <si>
    <t>Exempt</t>
  </si>
  <si>
    <t>Subsequent</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</si>
  <si>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</si>
  <si>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</si>
  <si>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</si>
  <si>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</si>
  <si>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</si>
  <si>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</si>
  <si>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</si>
  <si>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</si>
  <si>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</si>
  <si>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</si>
  <si>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Monthly COS</t>
  </si>
  <si>
    <t>Monthly Turnover (Inclusive)</t>
  </si>
  <si>
    <t>Monthly Payables (Inclusive)</t>
  </si>
  <si>
    <t>Sales Tax:</t>
  </si>
  <si>
    <t>Payment Month?</t>
  </si>
  <si>
    <t>Month Index</t>
  </si>
  <si>
    <t>Monthly Output Total</t>
  </si>
  <si>
    <t>Monthly Input Total</t>
  </si>
  <si>
    <t>Income Tax:</t>
  </si>
  <si>
    <t>Monthly Total</t>
  </si>
  <si>
    <t>Payroll Accrual:</t>
  </si>
  <si>
    <t>Accrual %</t>
  </si>
  <si>
    <t>Workings (Not Printed):</t>
  </si>
  <si>
    <t>Monthly operating expense projections for the first year need to be entered on the IncState worksheet.</t>
  </si>
  <si>
    <t>Annual Expense Inflation %</t>
  </si>
  <si>
    <t>Monthly staff costs for the first year need to be entered on the IncState worksheet. Annual projections for year 2 to 5 are based on the expense</t>
  </si>
  <si>
    <t>inflation in the Operating Expenses section above.</t>
  </si>
  <si>
    <t>Monthly depreciation &amp; amortization projections for the first year need to be entered on the IncState worksheet.</t>
  </si>
  <si>
    <t>Automatically calculated on the IncState worksheet.</t>
  </si>
  <si>
    <t>Financial Assumptions - Income Statement</t>
  </si>
  <si>
    <t>Financial Assumptions - Balance Sheet</t>
  </si>
  <si>
    <t>The following balance sheet balances are projected by entering the appropriate monthly movements during the first year on the cash flow</t>
  </si>
  <si>
    <t>Enter in column C on the appropriate Loans sheet.</t>
  </si>
  <si>
    <t>the appropriate balance sheet balance.</t>
  </si>
  <si>
    <t>statement and the movements for year 2 to 5 on this sheet. Red codes in column A indicate that you need to enter a negative value to increase</t>
  </si>
  <si>
    <t>The following balance sheet balances are calculated based on the assumptions that are entered on this sheet:</t>
  </si>
  <si>
    <t>Projected loan repayments and interest are calculated based on the below terms (each on a separate sheet).</t>
  </si>
  <si>
    <t>Balance Sheet Opening Balances</t>
  </si>
  <si>
    <t>The below section can be used to include balance sheet opening balances for existing businesses.</t>
  </si>
  <si>
    <t>Total Assets</t>
  </si>
  <si>
    <t>Other Income</t>
  </si>
  <si>
    <t>DIV</t>
  </si>
  <si>
    <t>Dividends</t>
  </si>
  <si>
    <t>Retained earnings for the year</t>
  </si>
  <si>
    <t>Dividend %</t>
  </si>
  <si>
    <t>Dividends paid</t>
  </si>
  <si>
    <t>Dividends:</t>
  </si>
  <si>
    <t>Expense Month?</t>
  </si>
  <si>
    <t>Dividend Expense</t>
  </si>
  <si>
    <t>Dividend Accrual</t>
  </si>
  <si>
    <t>Dividends Payable</t>
  </si>
  <si>
    <t>Dividend Value</t>
  </si>
  <si>
    <t>V4C0</t>
  </si>
  <si>
    <t>Additional Loans</t>
  </si>
  <si>
    <t>Interest Charges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</si>
  <si>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</si>
  <si>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</si>
  <si>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</si>
  <si>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</si>
  <si>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Income Statement</t>
  </si>
  <si>
    <t>All monthly income statement projections need to be entered exclusive of any sales tax that may be applicable.</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</si>
  <si>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</si>
  <si>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</si>
  <si>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</si>
  <si>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</si>
  <si>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</si>
  <si>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</si>
  <si>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</si>
  <si>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</si>
  <si>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</si>
  <si>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</si>
  <si>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</si>
  <si>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</si>
  <si>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</si>
  <si>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</si>
  <si>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</si>
  <si>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</si>
  <si>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</si>
  <si>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</si>
  <si>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</si>
  <si>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</si>
  <si>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</si>
  <si>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</si>
  <si>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</si>
  <si>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</si>
  <si>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</si>
  <si>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</si>
  <si>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</si>
  <si>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</si>
  <si>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</si>
  <si>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</si>
  <si>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</si>
  <si>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</si>
  <si>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</si>
  <si>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</si>
  <si>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</si>
  <si>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</si>
  <si>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</si>
  <si>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</si>
  <si>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</si>
  <si>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</si>
  <si>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</si>
  <si>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</si>
  <si>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</si>
  <si>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</si>
  <si>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</si>
  <si>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</si>
  <si>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</si>
  <si>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</si>
  <si>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</si>
  <si>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</si>
  <si>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</si>
  <si>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</si>
  <si>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</si>
  <si>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</si>
  <si>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</si>
  <si>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</si>
  <si>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</si>
  <si>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</si>
  <si>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</si>
  <si>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</si>
  <si>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</si>
  <si>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</si>
  <si>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</si>
  <si>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on the balance sheet are based on the actual number of days in each month if the creditors days assumption is greater than the days in the appropriate month.</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</si>
  <si>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</si>
  <si>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</si>
  <si>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</si>
  <si>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</si>
  <si>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</si>
  <si>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</si>
  <si>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</si>
  <si>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</si>
  <si>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</si>
  <si>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</si>
  <si>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</si>
  <si>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</si>
  <si>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</si>
  <si>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</si>
  <si>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</si>
  <si>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</si>
  <si>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</si>
  <si>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</si>
  <si>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</si>
  <si>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</si>
  <si>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</si>
  <si>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</si>
  <si>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</si>
  <si>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</si>
  <si>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</si>
  <si>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</si>
  <si>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</si>
  <si>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</si>
  <si>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</si>
  <si>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</si>
  <si>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</si>
  <si>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</si>
  <si>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</si>
  <si>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</si>
  <si>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</si>
  <si>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</si>
  <si>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</si>
  <si>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</si>
  <si>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</si>
  <si>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</si>
  <si>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</si>
  <si>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</si>
  <si>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</si>
  <si>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</si>
  <si>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</si>
  <si>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</si>
  <si>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</si>
  <si>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</si>
  <si>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</si>
  <si>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</si>
  <si>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</si>
  <si>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</si>
  <si>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</si>
  <si>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</si>
  <si>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</si>
  <si>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</si>
  <si>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</si>
  <si>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</si>
  <si>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</si>
  <si>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</si>
  <si>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month and the 11 subsequent months and four subsequent years are added to form the 5 year projection period.</t>
  </si>
  <si>
    <t>The income statement and cash flow statement only require user input where there is yellow highlighting in column A and the user input only relates to the 12 monthly periods. All annual totals are calculated automatically and all rows without yellow highlighting are calculated automatically in both the monthly and annual columns.</t>
  </si>
  <si>
    <t>Monthly turnover values need to be entered on the IncState sheet for the first 12 months.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</si>
  <si>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</si>
  <si>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year 2 to 5 totals for other income are calculated by applying the annual turnover growth percentages on the Assumptions sheet to the previous year's total.</t>
  </si>
  <si>
    <t>Monthly other income projections for the first year need to be entered on the IncState worksheet. Year 2 to 5 totals are calculated based on the</t>
  </si>
  <si>
    <t>annual turnover growth percentages above.</t>
  </si>
  <si>
    <t>The year 2 to 5 totals for operating expenses are calculated by applying the annual expense inflation percentages on the Assumptions sheet to the previous year's total.</t>
  </si>
  <si>
    <t>All the monthly staff cost projections need to be entered in the staff costs section of the income statement. The template contains 2 default staff cost line items but you can add as many additional items as required or delete the line items that you do not need.</t>
  </si>
  <si>
    <t>The year 2 to 5 totals for staff costs are calculated by applying the annual expense inflation percentages on the Assumptions sheet to the previous year's total.</t>
  </si>
  <si>
    <t>Monthly &amp; 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</si>
  <si>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monthly depreciation &amp; amortization charges for the first 12 months need to be included on the IncState sheet and the totals for year 2 to 5 need to be included on the Assumptions sheet.</t>
  </si>
  <si>
    <t>Interest, Taxation &amp; Dividends</t>
  </si>
  <si>
    <t xml:space="preserve">Opening loan balances are based on the balance sheet opening balances section on the Assumptions sheet and additional loan amounts can be entered in column C of the appropriate amortization table. </t>
  </si>
  <si>
    <t>The property, plant &amp; equipment balances on the balance sheet are calculated by adding the purchases of property, plant &amp; equipment (entered on the cash flow statement for the first 12 months and on the Assumptions sheet for year 2 to 5) and then deducting the appropriate depreciation charges that are included on the income statement.</t>
  </si>
  <si>
    <t>Intangible assets balances are calculated in much the same way by adding the purchases of intangible assets (as per the cash flow statement for the first 12 months and the Assumptions sheet for year 2 to 5) and deducting the appropriate amortization charges as per the income statement. The calculation of the investments balances on the balance sheet is a bit simpler in that only the purchases of new investments (as per the cash flow statement for the first 12 months and the Assumptions sheet for your 2 to 5) are added to the previous period's balance and there is no depreciation or amortization on investments.</t>
  </si>
  <si>
    <t>Note: Purchases of property, plant &amp; equipment, intangible assets and investments all need to be entered as negative values. The purchases for the first 12 months need to be entered on the cash flow statement and the purchases for year 2 to 5 need to be entered on the Assumptions sheet.</t>
  </si>
  <si>
    <t>The year 2 to 5 trade receivables balances are calculated by applying the annual turnover growth percentage to the trade receivables balance at the end of year 1. This method ensures that the monthly trend in year 1 is reflected in the year 2 to 5 balances. If you amend the debtors days in the Workings section of the balance sheet, the amended days for the appropriate year will be used in the calculation.</t>
  </si>
  <si>
    <t>The loans and advances &amp; other receivables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 2 to 5.</t>
  </si>
  <si>
    <t>The shareholders contributions &amp; reserves balances cannot be calculated by basing them on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or Assumptions sheet.</t>
  </si>
  <si>
    <t>All the calculations on the amortization sheets are fully automated. The only user input that is required on these sheets is entering the additional loan amounts in column C.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</si>
  <si>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The outstanding loan or lease balances at the end of the appropriate monthly or annual period are then included in the appropriate lines on the balance sheet.</t>
  </si>
  <si>
    <t>The year 2 to 5 trade payables balances are calculated by applying the annual expense inflation percentage to the trade payables balance at the end of year 1. This method ensures that the monthly trend in year 1 is reflected in the year 2 to 5 balances. If you amend the creditors days in the Workings section of the balance sheet, the amended days for the appropriate year will be used in the calculation.</t>
  </si>
  <si>
    <t>The year 2 to 5 balances for sales tax are calculated by calculating the total sales tax for the appropriate year, dividing it by twelve and then multiplying the value by the number of months that are included in the sales tax balance at the end of the first year.</t>
  </si>
  <si>
    <t>The year 2 to 5 payroll accrual balances are calculated by adjusting the previous year's balance by the appropriate expense inflation percentage on the Assumptions sheet.</t>
  </si>
  <si>
    <t>The other accrual &amp; other provisions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period.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years 2 to 5.</t>
  </si>
  <si>
    <t>The year 2 to 5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</si>
  <si>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year 2 to 5 balances are calculated based on the profit for the year, the dividend percentage and the payment status of Cash, Next or Subsequent.</t>
  </si>
  <si>
    <t>All the rows on the cash flow statement which require user input are indicated with yellow highlighting in column A. User input is only required in the monthly columns - the user input for the annual columns need to be included on the Assumptions sheet in the first balance sheet section. All the rows on the cash flow statement which do not contain yellow highlighting contain formulas which automate the calculations of these items.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</si>
  <si>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The only user input that is required on these sheets is the additional loan amounts in column C.</t>
  </si>
  <si>
    <t>Next</t>
  </si>
  <si>
    <t>Dividend Status</t>
  </si>
  <si>
    <r>
      <t xml:space="preserve">Assumptions - </t>
    </r>
    <r>
      <rPr>
        <sz val="10"/>
        <rFont val="Arial"/>
        <family val="2"/>
      </rPr>
      <t>this sheet includes the default assumptions on which the monthly &amp; annual cash flow projections are based.</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</si>
  <si>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</si>
  <si>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</si>
  <si>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</si>
  <si>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monthly income statement for 12 monthly periods and 5 annual periods. All the rows highlighted in yellow in column A require user input and the codes in column A are used in the sales tax, receivables &amp; payables calculations. The rowswith no yellow highlighting in column A contain formulas and are calculated automatically.</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</si>
  <si>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</si>
  <si>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</si>
  <si>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</si>
  <si>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</si>
  <si>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year 2 to 5 inventory balances are calculated by applying the turnover growth percentage to the inventory balance at the end of year 1. This method ensures that the monthly trend in year 1 is reflected in the year 2 to 5 balances. If you amend the inventory days in the Workings section of the balance sheet, the amended days for the appropriate year will be used in the calculation.</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</si>
  <si>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</si>
  <si>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</si>
  <si>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profit before tax amount is multiplied by the income tax percentage on the Assumptions sheet to calculate the monthly or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</si>
  <si>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</si>
  <si>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</si>
  <si>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If the balance sheet for any monthly or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included on the Assumptions sheet is nil.</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</si>
  <si>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</si>
  <si>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The input rows on the cash flow statement are all related to balance sheet items where the calculations on the balance sheet are based on adding the movement on the cash flow statement to the previous month's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</si>
  <si>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</si>
  <si>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entered by the user as well as a number of assumptions used to create an automated balance sheet. Assumptions include opening balance sheet balances, working capital ratios, payroll accruals, sales tax, income tax, dividends and loans. The monthly reporting periods are based on any user defined start date.</t>
  </si>
  <si>
    <t>Note: We have included 12 monthly and 5 annual reporting periods in this template because this format is frequently required by financial institutions when submitting financial projections for business plans. If you only require annual cash flow projections, refer to our Annual Cash Flow Projections template and if you only require monthly cash flow projections, refer to our Monthly Cash Flow Projections template.</t>
  </si>
  <si>
    <t>Maisha Transport Company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</si>
</sst>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0.0%"/>
    <numFmt numFmtId="166" formatCode="_(* #,##0_);_(* \(#,##0\);_(* &quot;-&quot;??_);_(@_)"/>
    <numFmt numFmtId="167" formatCode="_(* #,##0.0%_);_(* \(#,##0.0%\);_(* &quot;-&quot;_);_(@_)"/>
    <numFmt numFmtId="168" formatCode="_(* #,##0.0_);_(* \(#,##0.0\);_(* &quot;-&quot;??_);_(@_)"/>
    <numFmt numFmtId="169" formatCode="mmm\-yyyy"/>
    <numFmt numFmtId="170" formatCode="_ * #,##0_ ;_ * \-#,##0_ ;_ * &quot;-&quot;??_ ;_ @_ "/>
    <numFmt numFmtId="171" formatCode="mmm/yyyy"/>
  </numFmts>
  <fonts count="34"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sz val="10"/>
      <color indexed="9"/>
      <name val="Century Gothic"/>
      <family val="2"/>
      <scheme val="minor"/>
    </font>
    <font>
      <b/>
      <i/>
      <sz val="10"/>
      <name val="Century Gothic"/>
      <family val="2"/>
      <scheme val="minor"/>
    </font>
    <font>
      <b/>
      <i/>
      <sz val="10"/>
      <color indexed="8"/>
      <name val="Century Gothic"/>
      <family val="2"/>
      <scheme val="minor"/>
    </font>
    <font>
      <sz val="10"/>
      <color indexed="12"/>
      <name val="Century Gothic"/>
      <family val="2"/>
      <scheme val="minor"/>
    </font>
    <font>
      <b/>
      <sz val="10"/>
      <color indexed="12"/>
      <name val="Century Gothic"/>
      <family val="2"/>
      <scheme val="minor"/>
    </font>
    <font>
      <b/>
      <u/>
      <sz val="10"/>
      <name val="Century Gothic"/>
      <family val="2"/>
      <scheme val="minor"/>
    </font>
    <font>
      <i/>
      <sz val="10"/>
      <color theme="0"/>
      <name val="Century Gothic"/>
      <family val="2"/>
      <scheme val="minor"/>
    </font>
    <font>
      <b/>
      <sz val="10"/>
      <color theme="0"/>
      <name val="Century Gothic"/>
      <family val="2"/>
      <scheme val="minor"/>
    </font>
    <font>
      <sz val="10"/>
      <color indexed="8"/>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i/>
      <sz val="9"/>
      <color rgb="FF00B050"/>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61">
    <xf numFmtId="0" fontId="0" fillId="0" borderId="0" xfId="0"/>
    <xf numFmtId="0" fontId="4" fillId="0" borderId="0" xfId="0" applyFont="1"/>
    <xf numFmtId="0" fontId="5" fillId="0" borderId="0" xfId="0" applyFont="1" applyProtection="1">
      <protection hidden="1"/>
    </xf>
    <xf numFmtId="166" fontId="5" fillId="0" borderId="0" xfId="1" applyNumberFormat="1" applyFont="1" applyProtection="1">
      <protection hidden="1"/>
    </xf>
    <xf numFmtId="43" fontId="6" fillId="0" borderId="0" xfId="1" applyFont="1" applyProtection="1">
      <protection hidden="1"/>
    </xf>
    <xf numFmtId="0" fontId="6" fillId="0" borderId="0" xfId="0" applyFont="1" applyProtection="1">
      <protection hidden="1"/>
    </xf>
    <xf numFmtId="0" fontId="7" fillId="0" borderId="0" xfId="0" applyFont="1" applyProtection="1">
      <protection hidden="1"/>
    </xf>
    <xf numFmtId="43" fontId="5" fillId="0" borderId="0" xfId="1" applyFont="1" applyAlignment="1" applyProtection="1">
      <alignment horizontal="center"/>
      <protection hidden="1"/>
    </xf>
    <xf numFmtId="43" fontId="5" fillId="0" borderId="0" xfId="1" applyFont="1" applyProtection="1">
      <protection hidden="1"/>
    </xf>
    <xf numFmtId="166" fontId="7" fillId="0" borderId="0" xfId="1" applyNumberFormat="1" applyFont="1" applyAlignment="1" applyProtection="1">
      <alignment horizontal="center"/>
      <protection hidden="1"/>
    </xf>
    <xf numFmtId="43" fontId="7" fillId="0" borderId="0" xfId="1" applyFont="1" applyAlignment="1" applyProtection="1">
      <alignment horizontal="center"/>
      <protection hidden="1"/>
    </xf>
    <xf numFmtId="166" fontId="6" fillId="0" borderId="0" xfId="1" applyNumberFormat="1" applyFont="1" applyProtection="1">
      <protection hidden="1"/>
    </xf>
    <xf numFmtId="166" fontId="6" fillId="0" borderId="0" xfId="1" applyNumberFormat="1" applyFont="1" applyFill="1" applyBorder="1" applyProtection="1">
      <protection hidden="1"/>
    </xf>
    <xf numFmtId="165" fontId="6" fillId="5" borderId="2" xfId="3" applyNumberFormat="1" applyFont="1" applyFill="1" applyBorder="1" applyAlignment="1" applyProtection="1">
      <alignment horizontal="center"/>
      <protection hidden="1"/>
    </xf>
    <xf numFmtId="165" fontId="6" fillId="0" borderId="0" xfId="1" applyNumberFormat="1" applyFont="1" applyFill="1" applyBorder="1" applyAlignment="1" applyProtection="1">
      <alignment horizontal="center"/>
      <protection hidden="1"/>
    </xf>
    <xf numFmtId="166" fontId="6" fillId="5" borderId="2" xfId="1" applyNumberFormat="1" applyFont="1" applyFill="1" applyBorder="1" applyAlignment="1" applyProtection="1">
      <alignment horizontal="center"/>
      <protection hidden="1"/>
    </xf>
    <xf numFmtId="43" fontId="6" fillId="0" borderId="0" xfId="1" applyFont="1" applyAlignment="1" applyProtection="1">
      <alignment horizontal="left" indent="1"/>
      <protection hidden="1"/>
    </xf>
    <xf numFmtId="166" fontId="6" fillId="0" borderId="0" xfId="1" applyNumberFormat="1" applyFont="1" applyFill="1" applyBorder="1" applyAlignment="1" applyProtection="1">
      <alignment horizontal="center"/>
      <protection hidden="1"/>
    </xf>
    <xf numFmtId="166" fontId="7" fillId="0" borderId="0" xfId="1" applyNumberFormat="1" applyFont="1" applyFill="1" applyBorder="1" applyAlignment="1" applyProtection="1">
      <alignment horizontal="center"/>
      <protection hidden="1"/>
    </xf>
    <xf numFmtId="0" fontId="11" fillId="0" borderId="0" xfId="0" applyFont="1" applyProtection="1">
      <protection hidden="1"/>
    </xf>
    <xf numFmtId="0" fontId="6" fillId="2" borderId="2" xfId="1" applyNumberFormat="1" applyFont="1" applyFill="1" applyBorder="1" applyAlignment="1" applyProtection="1">
      <alignment horizontal="center"/>
      <protection hidden="1"/>
    </xf>
    <xf numFmtId="165" fontId="6" fillId="2" borderId="2" xfId="3" applyNumberFormat="1" applyFont="1" applyFill="1" applyBorder="1" applyAlignment="1" applyProtection="1">
      <alignment horizontal="center"/>
      <protection hidden="1"/>
    </xf>
    <xf numFmtId="3" fontId="6" fillId="2" borderId="2" xfId="1" applyNumberFormat="1" applyFont="1" applyFill="1" applyBorder="1" applyAlignment="1" applyProtection="1">
      <alignment horizontal="center"/>
      <protection hidden="1"/>
    </xf>
    <xf numFmtId="0" fontId="6" fillId="5" borderId="2" xfId="0" applyFont="1" applyFill="1" applyBorder="1" applyProtection="1">
      <protection hidden="1"/>
    </xf>
    <xf numFmtId="0" fontId="12" fillId="0" borderId="0" xfId="1" applyNumberFormat="1" applyFont="1" applyAlignment="1" applyProtection="1">
      <alignment horizontal="center"/>
      <protection hidden="1"/>
    </xf>
    <xf numFmtId="10" fontId="6" fillId="2" borderId="2" xfId="3" applyNumberFormat="1" applyFont="1" applyFill="1" applyBorder="1" applyProtection="1">
      <protection hidden="1"/>
    </xf>
    <xf numFmtId="168" fontId="6" fillId="2" borderId="2" xfId="1" applyNumberFormat="1" applyFont="1" applyFill="1" applyBorder="1" applyProtection="1">
      <protection hidden="1"/>
    </xf>
    <xf numFmtId="166" fontId="6" fillId="2" borderId="2" xfId="1" applyNumberFormat="1" applyFont="1" applyFill="1" applyBorder="1" applyAlignment="1" applyProtection="1">
      <alignment horizontal="right"/>
      <protection hidden="1"/>
    </xf>
    <xf numFmtId="166" fontId="6" fillId="2" borderId="2" xfId="1" applyNumberFormat="1" applyFont="1" applyFill="1" applyBorder="1" applyProtection="1">
      <protection hidden="1"/>
    </xf>
    <xf numFmtId="166" fontId="7" fillId="0" borderId="0" xfId="1" applyNumberFormat="1" applyFont="1" applyFill="1" applyBorder="1" applyProtection="1">
      <protection hidden="1"/>
    </xf>
    <xf numFmtId="0" fontId="13" fillId="0" borderId="0" xfId="0" applyFont="1" applyProtection="1">
      <protection hidden="1"/>
    </xf>
    <xf numFmtId="169" fontId="6" fillId="3" borderId="2" xfId="0" applyNumberFormat="1" applyFont="1" applyFill="1" applyBorder="1" applyAlignment="1" applyProtection="1">
      <alignment vertical="center" wrapText="1"/>
      <protection hidden="1"/>
    </xf>
    <xf numFmtId="169" fontId="5" fillId="3" borderId="2" xfId="1" applyNumberFormat="1" applyFont="1" applyFill="1" applyBorder="1" applyAlignment="1" applyProtection="1">
      <alignment horizontal="center" vertical="center" wrapText="1"/>
      <protection hidden="1"/>
    </xf>
    <xf numFmtId="169" fontId="14" fillId="4" borderId="2" xfId="1" applyNumberFormat="1" applyFont="1" applyFill="1" applyBorder="1" applyAlignment="1" applyProtection="1">
      <alignment horizontal="center" vertical="center" wrapText="1"/>
      <protection hidden="1"/>
    </xf>
    <xf numFmtId="169" fontId="6" fillId="0" borderId="0" xfId="0" applyNumberFormat="1" applyFont="1" applyAlignment="1" applyProtection="1">
      <alignment vertical="center" wrapText="1"/>
      <protection hidden="1"/>
    </xf>
    <xf numFmtId="0" fontId="6" fillId="0" borderId="0" xfId="1" applyNumberFormat="1" applyFont="1" applyBorder="1" applyProtection="1">
      <protection hidden="1"/>
    </xf>
    <xf numFmtId="166" fontId="6" fillId="0" borderId="3" xfId="1" applyNumberFormat="1" applyFont="1" applyFill="1" applyBorder="1" applyProtection="1">
      <protection hidden="1"/>
    </xf>
    <xf numFmtId="166" fontId="5" fillId="0" borderId="3" xfId="1" applyNumberFormat="1" applyFont="1" applyBorder="1" applyProtection="1">
      <protection hidden="1"/>
    </xf>
    <xf numFmtId="166" fontId="6" fillId="0" borderId="4" xfId="1" applyNumberFormat="1" applyFont="1" applyFill="1" applyBorder="1" applyProtection="1">
      <protection hidden="1"/>
    </xf>
    <xf numFmtId="166" fontId="6" fillId="0" borderId="4" xfId="1" applyNumberFormat="1" applyFont="1" applyBorder="1" applyProtection="1">
      <protection hidden="1"/>
    </xf>
    <xf numFmtId="166" fontId="5" fillId="0" borderId="4" xfId="1" applyNumberFormat="1" applyFont="1" applyBorder="1" applyProtection="1">
      <protection hidden="1"/>
    </xf>
    <xf numFmtId="0" fontId="5" fillId="0" borderId="0" xfId="1" applyNumberFormat="1" applyFont="1" applyBorder="1" applyProtection="1">
      <protection hidden="1"/>
    </xf>
    <xf numFmtId="166" fontId="5" fillId="0" borderId="12" xfId="1" applyNumberFormat="1" applyFont="1" applyFill="1" applyBorder="1" applyProtection="1">
      <protection hidden="1"/>
    </xf>
    <xf numFmtId="0" fontId="6" fillId="0" borderId="0" xfId="1" applyNumberFormat="1" applyFont="1" applyProtection="1">
      <protection hidden="1"/>
    </xf>
    <xf numFmtId="0" fontId="5" fillId="0" borderId="0" xfId="1" applyNumberFormat="1" applyFont="1" applyProtection="1">
      <protection hidden="1"/>
    </xf>
    <xf numFmtId="166" fontId="5" fillId="0" borderId="12" xfId="1" applyNumberFormat="1" applyFont="1" applyBorder="1" applyProtection="1">
      <protection hidden="1"/>
    </xf>
    <xf numFmtId="165" fontId="7" fillId="0" borderId="0" xfId="3" applyNumberFormat="1" applyFont="1" applyProtection="1">
      <protection hidden="1"/>
    </xf>
    <xf numFmtId="165" fontId="7" fillId="0" borderId="4" xfId="3" applyNumberFormat="1" applyFont="1" applyBorder="1" applyProtection="1">
      <protection hidden="1"/>
    </xf>
    <xf numFmtId="165" fontId="15" fillId="0" borderId="4" xfId="3" applyNumberFormat="1" applyFont="1" applyBorder="1" applyProtection="1">
      <protection hidden="1"/>
    </xf>
    <xf numFmtId="165" fontId="16" fillId="0" borderId="0" xfId="3" applyNumberFormat="1" applyFont="1" applyBorder="1" applyProtection="1">
      <protection hidden="1"/>
    </xf>
    <xf numFmtId="165" fontId="16" fillId="0" borderId="12" xfId="3" applyNumberFormat="1" applyFont="1" applyFill="1" applyBorder="1" applyProtection="1">
      <protection hidden="1"/>
    </xf>
    <xf numFmtId="0" fontId="6" fillId="0" borderId="4" xfId="0" applyFont="1" applyBorder="1" applyProtection="1">
      <protection hidden="1"/>
    </xf>
    <xf numFmtId="0" fontId="5" fillId="0" borderId="4" xfId="0" applyFont="1" applyBorder="1" applyProtection="1">
      <protection hidden="1"/>
    </xf>
    <xf numFmtId="167" fontId="7" fillId="0" borderId="4" xfId="3" applyNumberFormat="1" applyFont="1" applyBorder="1" applyProtection="1">
      <protection hidden="1"/>
    </xf>
    <xf numFmtId="167" fontId="15" fillId="0" borderId="4" xfId="3" applyNumberFormat="1" applyFont="1" applyBorder="1" applyProtection="1">
      <protection hidden="1"/>
    </xf>
    <xf numFmtId="166" fontId="6" fillId="0" borderId="5" xfId="1" applyNumberFormat="1" applyFont="1" applyBorder="1" applyProtection="1">
      <protection hidden="1"/>
    </xf>
    <xf numFmtId="0" fontId="6" fillId="0" borderId="5" xfId="0" applyFont="1" applyBorder="1" applyProtection="1">
      <protection hidden="1"/>
    </xf>
    <xf numFmtId="0" fontId="5" fillId="0" borderId="5" xfId="0" applyFont="1" applyBorder="1" applyProtection="1">
      <protection hidden="1"/>
    </xf>
    <xf numFmtId="168" fontId="7" fillId="0" borderId="0" xfId="1" applyNumberFormat="1" applyFont="1" applyProtection="1">
      <protection hidden="1"/>
    </xf>
    <xf numFmtId="168" fontId="15" fillId="0" borderId="0" xfId="1" applyNumberFormat="1" applyFont="1" applyProtection="1">
      <protection hidden="1"/>
    </xf>
    <xf numFmtId="167" fontId="7" fillId="0" borderId="0" xfId="1" applyNumberFormat="1" applyFont="1" applyProtection="1">
      <protection hidden="1"/>
    </xf>
    <xf numFmtId="167" fontId="7" fillId="0" borderId="0" xfId="0" applyNumberFormat="1" applyFont="1" applyProtection="1">
      <protection hidden="1"/>
    </xf>
    <xf numFmtId="167" fontId="15" fillId="0" borderId="0" xfId="0" applyNumberFormat="1" applyFont="1" applyProtection="1">
      <protection hidden="1"/>
    </xf>
    <xf numFmtId="167" fontId="15" fillId="0" borderId="0" xfId="1" applyNumberFormat="1" applyFont="1" applyProtection="1">
      <protection hidden="1"/>
    </xf>
    <xf numFmtId="0" fontId="17" fillId="0" borderId="0" xfId="0" applyFont="1" applyProtection="1">
      <protection hidden="1"/>
    </xf>
    <xf numFmtId="0" fontId="18" fillId="0" borderId="0" xfId="0" applyFont="1" applyProtection="1">
      <protection hidden="1"/>
    </xf>
    <xf numFmtId="166" fontId="6" fillId="0" borderId="0" xfId="0" applyNumberFormat="1" applyFont="1" applyProtection="1">
      <protection hidden="1"/>
    </xf>
    <xf numFmtId="166" fontId="5" fillId="0" borderId="3" xfId="0" applyNumberFormat="1" applyFont="1" applyBorder="1" applyProtection="1">
      <protection hidden="1"/>
    </xf>
    <xf numFmtId="166" fontId="7" fillId="0" borderId="4" xfId="0" applyNumberFormat="1" applyFont="1" applyBorder="1" applyProtection="1">
      <protection hidden="1"/>
    </xf>
    <xf numFmtId="166" fontId="6" fillId="0" borderId="4" xfId="0" applyNumberFormat="1" applyFont="1" applyBorder="1" applyProtection="1">
      <protection hidden="1"/>
    </xf>
    <xf numFmtId="166" fontId="6" fillId="0" borderId="7" xfId="1" applyNumberFormat="1" applyFont="1" applyBorder="1" applyProtection="1">
      <protection hidden="1"/>
    </xf>
    <xf numFmtId="166" fontId="7" fillId="0" borderId="4" xfId="1" applyNumberFormat="1" applyFont="1" applyBorder="1" applyProtection="1">
      <protection hidden="1"/>
    </xf>
    <xf numFmtId="166" fontId="7" fillId="0" borderId="0" xfId="1" applyNumberFormat="1" applyFont="1" applyProtection="1">
      <protection hidden="1"/>
    </xf>
    <xf numFmtId="166" fontId="7" fillId="0" borderId="12" xfId="1" applyNumberFormat="1" applyFont="1" applyBorder="1" applyProtection="1">
      <protection hidden="1"/>
    </xf>
    <xf numFmtId="0" fontId="7" fillId="0" borderId="0" xfId="1" applyNumberFormat="1" applyFont="1" applyProtection="1">
      <protection hidden="1"/>
    </xf>
    <xf numFmtId="166" fontId="5" fillId="0" borderId="6" xfId="1" applyNumberFormat="1" applyFont="1" applyBorder="1" applyProtection="1">
      <protection hidden="1"/>
    </xf>
    <xf numFmtId="0" fontId="19" fillId="0" borderId="0" xfId="2" applyFont="1" applyAlignment="1" applyProtection="1">
      <alignment horizontal="right"/>
      <protection hidden="1"/>
    </xf>
    <xf numFmtId="0" fontId="20" fillId="0" borderId="0" xfId="0" applyFont="1" applyProtection="1">
      <protection hidden="1"/>
    </xf>
    <xf numFmtId="0" fontId="6" fillId="3" borderId="2" xfId="0" applyFont="1" applyFill="1" applyBorder="1" applyAlignment="1" applyProtection="1">
      <alignment vertical="center" wrapText="1"/>
      <protection hidden="1"/>
    </xf>
    <xf numFmtId="171" fontId="14" fillId="4" borderId="2" xfId="1" applyNumberFormat="1" applyFont="1" applyFill="1" applyBorder="1" applyAlignment="1" applyProtection="1">
      <alignment horizontal="center" vertical="center" wrapText="1"/>
      <protection hidden="1"/>
    </xf>
    <xf numFmtId="169" fontId="21" fillId="4" borderId="2"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6" fontId="5" fillId="0" borderId="3" xfId="1" applyNumberFormat="1" applyFont="1" applyFill="1" applyBorder="1" applyProtection="1">
      <protection hidden="1"/>
    </xf>
    <xf numFmtId="0" fontId="5" fillId="0" borderId="3" xfId="0" applyFont="1" applyBorder="1" applyProtection="1">
      <protection hidden="1"/>
    </xf>
    <xf numFmtId="166" fontId="5" fillId="0" borderId="4" xfId="1" applyNumberFormat="1" applyFont="1" applyFill="1" applyBorder="1" applyProtection="1">
      <protection hidden="1"/>
    </xf>
    <xf numFmtId="166" fontId="6" fillId="0" borderId="12" xfId="1" applyNumberFormat="1" applyFont="1" applyBorder="1" applyProtection="1">
      <protection hidden="1"/>
    </xf>
    <xf numFmtId="166" fontId="5" fillId="0" borderId="13" xfId="1" applyNumberFormat="1" applyFont="1" applyBorder="1" applyProtection="1">
      <protection hidden="1"/>
    </xf>
    <xf numFmtId="170" fontId="6" fillId="0" borderId="4" xfId="1" applyNumberFormat="1" applyFont="1" applyBorder="1" applyProtection="1">
      <protection hidden="1"/>
    </xf>
    <xf numFmtId="166" fontId="11" fillId="0" borderId="0" xfId="1" applyNumberFormat="1" applyFont="1" applyAlignment="1" applyProtection="1">
      <alignment horizontal="center"/>
      <protection hidden="1"/>
    </xf>
    <xf numFmtId="167" fontId="7" fillId="0" borderId="0" xfId="3" applyNumberFormat="1" applyFont="1" applyProtection="1">
      <protection hidden="1"/>
    </xf>
    <xf numFmtId="164" fontId="7" fillId="0" borderId="0" xfId="1" applyNumberFormat="1" applyFont="1" applyProtection="1">
      <protection hidden="1"/>
    </xf>
    <xf numFmtId="166" fontId="7" fillId="0" borderId="0" xfId="0" applyNumberFormat="1" applyFont="1" applyProtection="1">
      <protection hidden="1"/>
    </xf>
    <xf numFmtId="43" fontId="7" fillId="0" borderId="0" xfId="1" applyFont="1" applyProtection="1">
      <protection hidden="1"/>
    </xf>
    <xf numFmtId="166" fontId="7" fillId="0" borderId="0" xfId="0" applyNumberFormat="1" applyFont="1" applyAlignment="1" applyProtection="1">
      <alignment horizontal="center"/>
      <protection hidden="1"/>
    </xf>
    <xf numFmtId="0" fontId="7" fillId="0" borderId="0" xfId="1" applyNumberFormat="1"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7" fillId="0" borderId="0" xfId="3" applyNumberFormat="1" applyFont="1" applyProtection="1">
      <protection hidden="1"/>
    </xf>
    <xf numFmtId="166" fontId="7" fillId="0" borderId="0" xfId="1" applyNumberFormat="1" applyFont="1" applyAlignment="1" applyProtection="1">
      <alignment horizontal="right"/>
      <protection hidden="1"/>
    </xf>
    <xf numFmtId="0" fontId="8" fillId="0" borderId="0" xfId="2" applyFont="1" applyAlignment="1" applyProtection="1">
      <alignment horizontal="right"/>
      <protection hidden="1"/>
    </xf>
    <xf numFmtId="169" fontId="22" fillId="0" borderId="0" xfId="0" applyNumberFormat="1" applyFont="1" applyProtection="1">
      <protection hidden="1"/>
    </xf>
    <xf numFmtId="10" fontId="6" fillId="3" borderId="2" xfId="3" applyNumberFormat="1" applyFont="1" applyFill="1" applyBorder="1" applyProtection="1">
      <protection hidden="1"/>
    </xf>
    <xf numFmtId="165" fontId="6" fillId="0" borderId="0" xfId="3" applyNumberFormat="1" applyFont="1" applyFill="1" applyBorder="1" applyProtection="1">
      <protection hidden="1"/>
    </xf>
    <xf numFmtId="168" fontId="6" fillId="3" borderId="2" xfId="1" applyNumberFormat="1" applyFont="1" applyFill="1" applyBorder="1" applyProtection="1">
      <protection hidden="1"/>
    </xf>
    <xf numFmtId="168" fontId="6" fillId="0" borderId="0" xfId="1" applyNumberFormat="1" applyFont="1" applyFill="1" applyBorder="1" applyProtection="1">
      <protection hidden="1"/>
    </xf>
    <xf numFmtId="168" fontId="6" fillId="3" borderId="2" xfId="1" applyNumberFormat="1" applyFont="1" applyFill="1" applyBorder="1" applyAlignment="1" applyProtection="1">
      <alignment horizontal="right"/>
      <protection hidden="1"/>
    </xf>
    <xf numFmtId="168" fontId="6" fillId="0" borderId="0" xfId="1" applyNumberFormat="1" applyFont="1" applyFill="1" applyBorder="1" applyAlignment="1" applyProtection="1">
      <alignment horizontal="right"/>
      <protection hidden="1"/>
    </xf>
    <xf numFmtId="169" fontId="9" fillId="3" borderId="2" xfId="0" applyNumberFormat="1" applyFont="1" applyFill="1" applyBorder="1" applyAlignment="1" applyProtection="1">
      <alignment vertical="center" wrapText="1"/>
      <protection hidden="1"/>
    </xf>
    <xf numFmtId="166" fontId="5" fillId="3" borderId="2" xfId="1" applyNumberFormat="1" applyFont="1" applyFill="1" applyBorder="1" applyAlignment="1" applyProtection="1">
      <alignment horizontal="center" vertical="center" wrapText="1"/>
      <protection hidden="1"/>
    </xf>
    <xf numFmtId="169" fontId="22" fillId="0" borderId="0" xfId="0" applyNumberFormat="1" applyFont="1" applyAlignment="1" applyProtection="1">
      <alignment horizontal="left"/>
      <protection hidden="1"/>
    </xf>
    <xf numFmtId="166" fontId="22" fillId="0" borderId="0" xfId="1" applyNumberFormat="1" applyFont="1" applyProtection="1">
      <protection hidden="1"/>
    </xf>
    <xf numFmtId="166" fontId="22" fillId="0" borderId="0" xfId="1" applyNumberFormat="1" applyFont="1" applyAlignment="1" applyProtection="1">
      <alignment horizontal="right"/>
      <protection hidden="1"/>
    </xf>
    <xf numFmtId="166" fontId="6" fillId="0" borderId="0" xfId="1" applyNumberFormat="1" applyFont="1" applyFill="1" applyBorder="1" applyAlignment="1" applyProtection="1">
      <alignment horizontal="right"/>
      <protection hidden="1"/>
    </xf>
    <xf numFmtId="0" fontId="22" fillId="0" borderId="0" xfId="0" applyFont="1" applyProtection="1">
      <protection hidden="1"/>
    </xf>
    <xf numFmtId="43" fontId="22" fillId="0" borderId="0" xfId="1" applyFont="1" applyProtection="1">
      <protection hidden="1"/>
    </xf>
    <xf numFmtId="166" fontId="22" fillId="5" borderId="2" xfId="1" applyNumberFormat="1" applyFont="1" applyFill="1" applyBorder="1" applyProtection="1">
      <protection hidden="1"/>
    </xf>
    <xf numFmtId="0" fontId="23"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6" fillId="0" borderId="0" xfId="0" applyFont="1" applyProtection="1">
      <protection hidden="1"/>
    </xf>
    <xf numFmtId="0" fontId="27" fillId="0" borderId="0" xfId="0" applyFont="1" applyProtection="1">
      <protection hidden="1"/>
    </xf>
    <xf numFmtId="0" fontId="23" fillId="0" borderId="0" xfId="0" applyFont="1" applyAlignment="1" applyProtection="1">
      <alignment horizontal="left"/>
      <protection hidden="1"/>
    </xf>
    <xf numFmtId="0" fontId="23" fillId="0" borderId="0" xfId="0" applyFont="1" applyAlignment="1" applyProtection="1">
      <alignment horizontal="left" vertical="center" wrapText="1"/>
      <protection hidden="1"/>
    </xf>
    <xf numFmtId="0" fontId="23" fillId="2" borderId="1" xfId="1" applyNumberFormat="1" applyFont="1" applyFill="1" applyBorder="1" applyAlignment="1" applyProtection="1">
      <alignment horizontal="left"/>
      <protection hidden="1"/>
    </xf>
    <xf numFmtId="0" fontId="23" fillId="0" borderId="0" xfId="1" applyNumberFormat="1" applyFont="1" applyAlignment="1" applyProtection="1">
      <alignment horizontal="left"/>
      <protection hidden="1"/>
    </xf>
    <xf numFmtId="0" fontId="26" fillId="2" borderId="1" xfId="3" applyNumberFormat="1" applyFont="1" applyFill="1" applyBorder="1" applyAlignment="1" applyProtection="1">
      <alignment horizontal="left"/>
      <protection hidden="1"/>
    </xf>
    <xf numFmtId="0" fontId="26" fillId="0" borderId="0" xfId="3" applyNumberFormat="1" applyFont="1" applyAlignment="1" applyProtection="1">
      <alignment horizontal="left"/>
      <protection hidden="1"/>
    </xf>
    <xf numFmtId="0" fontId="23" fillId="2" borderId="1" xfId="1" applyNumberFormat="1" applyFont="1" applyFill="1" applyBorder="1" applyProtection="1">
      <protection hidden="1"/>
    </xf>
    <xf numFmtId="0" fontId="23" fillId="0" borderId="0" xfId="1" applyNumberFormat="1" applyFont="1" applyProtection="1">
      <protection hidden="1"/>
    </xf>
    <xf numFmtId="0" fontId="24" fillId="0" borderId="0" xfId="0" applyFont="1" applyAlignment="1" applyProtection="1">
      <alignment horizontal="left"/>
      <protection hidden="1"/>
    </xf>
    <xf numFmtId="0" fontId="24" fillId="0" borderId="0" xfId="1" applyNumberFormat="1" applyFont="1" applyAlignment="1" applyProtection="1">
      <alignment horizontal="left"/>
      <protection hidden="1"/>
    </xf>
    <xf numFmtId="0" fontId="26" fillId="0" borderId="0" xfId="0" applyFont="1" applyAlignment="1" applyProtection="1">
      <alignment horizontal="left"/>
      <protection hidden="1"/>
    </xf>
    <xf numFmtId="169" fontId="23" fillId="0" borderId="0" xfId="0" applyNumberFormat="1" applyFont="1" applyAlignment="1" applyProtection="1">
      <alignment vertical="center" wrapText="1"/>
      <protection hidden="1"/>
    </xf>
    <xf numFmtId="0" fontId="25" fillId="2" borderId="1" xfId="1" applyNumberFormat="1" applyFont="1" applyFill="1" applyBorder="1" applyAlignment="1" applyProtection="1">
      <alignment horizontal="left"/>
      <protection hidden="1"/>
    </xf>
    <xf numFmtId="0" fontId="26" fillId="0" borderId="0" xfId="1" applyNumberFormat="1" applyFont="1" applyAlignment="1" applyProtection="1">
      <alignment horizontal="left"/>
      <protection hidden="1"/>
    </xf>
    <xf numFmtId="0" fontId="10" fillId="0" borderId="0" xfId="0" applyFont="1" applyProtection="1">
      <protection hidden="1"/>
    </xf>
    <xf numFmtId="0" fontId="23" fillId="0" borderId="0" xfId="0" applyFont="1" applyAlignment="1" applyProtection="1">
      <alignment vertical="center" wrapText="1"/>
      <protection hidden="1"/>
    </xf>
    <xf numFmtId="0" fontId="26" fillId="0" borderId="0" xfId="1" applyNumberFormat="1" applyFont="1" applyProtection="1">
      <protection hidden="1"/>
    </xf>
    <xf numFmtId="0" fontId="26" fillId="0" borderId="0" xfId="0" applyFont="1" applyAlignment="1" applyProtection="1">
      <alignment horizontal="center"/>
      <protection hidden="1"/>
    </xf>
    <xf numFmtId="0" fontId="26" fillId="0" borderId="0" xfId="3" applyNumberFormat="1" applyFont="1" applyProtection="1">
      <protection hidden="1"/>
    </xf>
    <xf numFmtId="0" fontId="1" fillId="0" borderId="0" xfId="0" applyFont="1" applyAlignment="1" applyProtection="1">
      <alignment horizontal="justify"/>
      <protection hidden="1"/>
    </xf>
    <xf numFmtId="0" fontId="29" fillId="0" borderId="0" xfId="0" applyFont="1" applyAlignment="1" applyProtection="1">
      <alignment horizontal="left" wrapText="1"/>
      <protection hidden="1"/>
    </xf>
    <xf numFmtId="0" fontId="31"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2" fillId="0" borderId="0" xfId="0" applyFont="1" applyAlignment="1" applyProtection="1">
      <alignment horizontal="justify" wrapText="1"/>
      <protection hidden="1"/>
    </xf>
    <xf numFmtId="0" fontId="33" fillId="0" borderId="0" xfId="0" applyFont="1" applyAlignment="1" applyProtection="1">
      <alignment horizontal="left" wrapText="1"/>
      <protection hidden="1"/>
    </xf>
    <xf numFmtId="0" fontId="30" fillId="0" borderId="0" xfId="2" applyFont="1" applyAlignment="1" applyProtection="1">
      <alignment horizontal="left" vertical="center" wrapText="1"/>
    </xf>
    <xf numFmtId="0" fontId="6" fillId="5" borderId="9" xfId="1" applyNumberFormat="1" applyFont="1" applyFill="1" applyBorder="1" applyAlignment="1" applyProtection="1">
      <alignment horizontal="left"/>
      <protection hidden="1"/>
    </xf>
    <xf numFmtId="0" fontId="6" fillId="5" borderId="10" xfId="1" applyNumberFormat="1" applyFont="1" applyFill="1" applyBorder="1" applyAlignment="1" applyProtection="1">
      <alignment horizontal="left"/>
      <protection hidden="1"/>
    </xf>
    <xf numFmtId="0" fontId="6" fillId="5" borderId="11" xfId="1" applyNumberFormat="1" applyFont="1" applyFill="1" applyBorder="1" applyAlignment="1" applyProtection="1">
      <alignment horizontal="left"/>
      <protection hidden="1"/>
    </xf>
    <xf numFmtId="14" fontId="6" fillId="2" borderId="8" xfId="1" applyNumberFormat="1" applyFont="1" applyFill="1" applyBorder="1" applyAlignment="1" applyProtection="1">
      <alignment horizontal="center"/>
      <protection hidden="1"/>
    </xf>
    <xf numFmtId="166" fontId="6" fillId="5" borderId="2" xfId="1" applyNumberFormat="1" applyFont="1" applyFill="1" applyBorder="1" applyAlignment="1" applyProtection="1">
      <alignment horizontal="center"/>
      <protection hidden="1"/>
    </xf>
    <xf numFmtId="10" fontId="6" fillId="2" borderId="2" xfId="3" applyNumberFormat="1" applyFont="1" applyFill="1" applyBorder="1" applyProtection="1">
      <protection hidden="1"/>
    </xf>
    <xf numFmtId="168" fontId="6" fillId="2" borderId="2" xfId="1" applyNumberFormat="1" applyFont="1" applyFill="1" applyBorder="1" applyProtection="1">
      <protection hidden="1"/>
    </xf>
    <xf numFmtId="166" fontId="6" fillId="2" borderId="2" xfId="1" applyNumberFormat="1" applyFont="1" applyFill="1" applyBorder="1" applyProtection="1">
      <protection hidden="1"/>
    </xf>
    <xf numFmtId="166" fontId="6" fillId="0" borderId="3" xfId="1" applyNumberFormat="1" applyFont="1" applyFill="1" applyBorder="1" applyProtection="1">
      <protection hidden="1"/>
    </xf>
    <xf numFmtId="166" fontId="6" fillId="0" borderId="4" xfId="1" applyNumberFormat="1" applyFont="1" applyBorder="1" applyProtection="1">
      <protection hidden="1"/>
    </xf>
    <xf numFmtId="165" fontId="7" fillId="0" borderId="4" xfId="3" applyNumberFormat="1" applyFont="1" applyBorder="1" applyProtection="1">
      <protection hidden="1"/>
    </xf>
  </cellXfs>
  <cellStyles count="4">
    <cellStyle name="Comma" xfId="1" builtinId="3"/>
    <cellStyle name="Hyperlink" xfId="2" builtinId="8"/>
    <cellStyle name="Normal" xfId="0" builtinId="0" customBuiltin="1"/>
    <cellStyle name="Percent" xfId="3" builtinId="5"/>
  </cellStyles>
  <dxfs count="3">
    <dxf>
      <font>
        <b/>
        <i val="0"/>
        <color theme="0"/>
      </font>
      <fill>
        <patternFill>
          <bgColor rgb="FFFF6600"/>
        </patternFill>
      </fill>
    </dxf>
    <dxf>
      <font>
        <b/>
        <i val="0"/>
        <color theme="0"/>
      </font>
      <fill>
        <patternFill>
          <bgColor rgb="FFFF660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34"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siness-plan-financial-projections.php"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991A48B2-35A7-4451-A914-327580646F2B}"/>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43F89166-5A0E-4E94-8D50-3E9295C2F07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65177479-7560-43F4-B00F-79991833F4F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EFFAFB8-1E9C-4EAE-979D-3727C6125FA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7897AF2F-E48A-4546-B1DB-076C2F78E192}"/>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25</xdr:col>
      <xdr:colOff>210546</xdr:colOff>
      <xdr:row>7</xdr:row>
      <xdr:rowOff>74191</xdr:rowOff>
    </xdr:from>
    <xdr:to>
      <xdr:col>25</xdr:col>
      <xdr:colOff>282546</xdr:colOff>
      <xdr:row>7</xdr:row>
      <xdr:rowOff>146191</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A1582F18-F5AF-4B35-9766-777285430683}"/>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6CEE722-E838-4F3A-AF2E-B0B25F758FA5}"/>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8F15460D-5F93-4364-AB00-8A7D8FBC6309}"/>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 BUSINESS PLAN FORECAST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3345836-D5E9-4D00-AF5D-9FFD84EBBCEF}"/>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523390B-85B6-43F9-A27B-87C3D1BF9BEB}"/>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747602A0-4EC2-42B8-AB48-ADC0E830E7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320040</xdr:colOff>
      <xdr:row>4</xdr:row>
      <xdr:rowOff>256200</xdr:rowOff>
    </xdr:from>
    <xdr:ext cx="2682240" cy="1114490"/>
    <xdr:sp macro="" textlink="">
      <xdr:nvSpPr>
        <xdr:cNvPr id="10" name="Rectangle 17">
          <a:extLst>
            <a:ext uri="{FF2B5EF4-FFF2-40B4-BE49-F238E27FC236}">
              <a16:creationId xmlns:a16="http://schemas.microsoft.com/office/drawing/2014/main" id="{919A48BA-6749-4827-AEED-E6EF9AAD45DA}"/>
            </a:ext>
          </a:extLst>
        </xdr:cNvPr>
        <xdr:cNvSpPr>
          <a:spLocks noChangeArrowheads="1"/>
        </xdr:cNvSpPr>
      </xdr:nvSpPr>
      <xdr:spPr bwMode="auto">
        <a:xfrm>
          <a:off x="7848600" y="1002960"/>
          <a:ext cx="26822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9</xdr:col>
      <xdr:colOff>611608</xdr:colOff>
      <xdr:row>1</xdr:row>
      <xdr:rowOff>186705</xdr:rowOff>
    </xdr:from>
    <xdr:ext cx="5855367" cy="1885342"/>
    <xdr:sp macro="" textlink="">
      <xdr:nvSpPr>
        <xdr:cNvPr id="3" name="Rectangle 17">
          <a:extLst>
            <a:ext uri="{FF2B5EF4-FFF2-40B4-BE49-F238E27FC236}">
              <a16:creationId xmlns:a16="http://schemas.microsoft.com/office/drawing/2014/main" id="{21F1BBB2-8AE4-4E50-B802-40C3A00BBC1C}"/>
            </a:ext>
          </a:extLst>
        </xdr:cNvPr>
        <xdr:cNvSpPr>
          <a:spLocks noChangeArrowheads="1"/>
        </xdr:cNvSpPr>
      </xdr:nvSpPr>
      <xdr:spPr bwMode="auto">
        <a:xfrm>
          <a:off x="10276976" y="387231"/>
          <a:ext cx="5855367"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cash flow projection calculations. The reporting periods included on the income statement, cash flow statement and balance sheet are determined based on the start date specified at the top of the sheet. Other assumptions on this sheet include annual turnover growth, annual expense inflation,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editAs="absolute">
    <xdr:from>
      <xdr:col>39</xdr:col>
      <xdr:colOff>40100</xdr:colOff>
      <xdr:row>3</xdr:row>
      <xdr:rowOff>60155</xdr:rowOff>
    </xdr:from>
    <xdr:to>
      <xdr:col>39</xdr:col>
      <xdr:colOff>112100</xdr:colOff>
      <xdr:row>3</xdr:row>
      <xdr:rowOff>132155</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500-000003000000}"/>
            </a:ext>
          </a:extLst>
        </xdr:cNvPr>
        <xdr:cNvSpPr>
          <a:spLocks noChangeArrowheads="1"/>
        </xdr:cNvSpPr>
      </xdr:nvSpPr>
      <xdr:spPr bwMode="auto">
        <a:xfrm>
          <a:off x="32916389" y="671760"/>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19</xdr:col>
      <xdr:colOff>441156</xdr:colOff>
      <xdr:row>8</xdr:row>
      <xdr:rowOff>20415</xdr:rowOff>
    </xdr:from>
    <xdr:ext cx="6569245" cy="2077703"/>
    <xdr:sp macro="" textlink="">
      <xdr:nvSpPr>
        <xdr:cNvPr id="4" name="Rectangle 17">
          <a:extLst>
            <a:ext uri="{FF2B5EF4-FFF2-40B4-BE49-F238E27FC236}">
              <a16:creationId xmlns:a16="http://schemas.microsoft.com/office/drawing/2014/main" id="{90FDA454-82F6-46E4-994C-6DBDF0DF1A5B}"/>
            </a:ext>
          </a:extLst>
        </xdr:cNvPr>
        <xdr:cNvSpPr>
          <a:spLocks noChangeArrowheads="1"/>
        </xdr:cNvSpPr>
      </xdr:nvSpPr>
      <xdr:spPr bwMode="auto">
        <a:xfrm>
          <a:off x="21035209" y="1654704"/>
          <a:ext cx="6569245"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income statement for 12 monthly &amp; 5 annual periods. All the rows with yellow highlighting in column A require user input in the monthly columns. Only the gross profit % rows require user input in the annual columns. The values in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twoCellAnchor editAs="absolute">
    <xdr:from>
      <xdr:col>31</xdr:col>
      <xdr:colOff>342891</xdr:colOff>
      <xdr:row>3</xdr:row>
      <xdr:rowOff>50129</xdr:rowOff>
    </xdr:from>
    <xdr:to>
      <xdr:col>31</xdr:col>
      <xdr:colOff>414891</xdr:colOff>
      <xdr:row>3</xdr:row>
      <xdr:rowOff>122129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600-000003000000}"/>
            </a:ext>
          </a:extLst>
        </xdr:cNvPr>
        <xdr:cNvSpPr>
          <a:spLocks noChangeArrowheads="1"/>
        </xdr:cNvSpPr>
      </xdr:nvSpPr>
      <xdr:spPr bwMode="auto">
        <a:xfrm>
          <a:off x="28705334" y="661734"/>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20</xdr:col>
      <xdr:colOff>22058</xdr:colOff>
      <xdr:row>4</xdr:row>
      <xdr:rowOff>36239</xdr:rowOff>
    </xdr:from>
    <xdr:ext cx="5614737" cy="1500622"/>
    <xdr:sp macro="" textlink="">
      <xdr:nvSpPr>
        <xdr:cNvPr id="4" name="Rectangle 17">
          <a:extLst>
            <a:ext uri="{FF2B5EF4-FFF2-40B4-BE49-F238E27FC236}">
              <a16:creationId xmlns:a16="http://schemas.microsoft.com/office/drawing/2014/main" id="{87744D48-36E6-497B-906E-27C457BCF8A7}"/>
            </a:ext>
          </a:extLst>
        </xdr:cNvPr>
        <xdr:cNvSpPr>
          <a:spLocks noChangeArrowheads="1"/>
        </xdr:cNvSpPr>
      </xdr:nvSpPr>
      <xdr:spPr bwMode="auto">
        <a:xfrm>
          <a:off x="21498426" y="868423"/>
          <a:ext cx="56147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cash flow statement for 12 monthly periods and 5 annual periods. All the rows with yellow highlighting in column A require user input in the monthly columns. User input for year 2 to 5 should be included on the  “Assumptions” sheet. All rows without yellow highlighting in column A are calculated automatically.</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34</xdr:col>
      <xdr:colOff>240624</xdr:colOff>
      <xdr:row>3</xdr:row>
      <xdr:rowOff>40103</xdr:rowOff>
    </xdr:from>
    <xdr:to>
      <xdr:col>34</xdr:col>
      <xdr:colOff>312624</xdr:colOff>
      <xdr:row>3</xdr:row>
      <xdr:rowOff>112103</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700-000004000000}"/>
            </a:ext>
          </a:extLst>
        </xdr:cNvPr>
        <xdr:cNvSpPr>
          <a:spLocks noChangeArrowheads="1"/>
        </xdr:cNvSpPr>
      </xdr:nvSpPr>
      <xdr:spPr bwMode="auto">
        <a:xfrm>
          <a:off x="30810861" y="65170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21</xdr:col>
      <xdr:colOff>18047</xdr:colOff>
      <xdr:row>4</xdr:row>
      <xdr:rowOff>22204</xdr:rowOff>
    </xdr:from>
    <xdr:ext cx="5983706" cy="1500622"/>
    <xdr:sp macro="" textlink="">
      <xdr:nvSpPr>
        <xdr:cNvPr id="5" name="Rectangle 17">
          <a:extLst>
            <a:ext uri="{FF2B5EF4-FFF2-40B4-BE49-F238E27FC236}">
              <a16:creationId xmlns:a16="http://schemas.microsoft.com/office/drawing/2014/main" id="{7F38AD6A-E44B-4FB9-AC75-B914EC971A3E}"/>
            </a:ext>
          </a:extLst>
        </xdr:cNvPr>
        <xdr:cNvSpPr>
          <a:spLocks noChangeArrowheads="1"/>
        </xdr:cNvSpPr>
      </xdr:nvSpPr>
      <xdr:spPr bwMode="auto">
        <a:xfrm>
          <a:off x="22637415" y="854388"/>
          <a:ext cx="59837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balance sheet for 12 monthly and 5 annual periods. All the calculations on this sheet are automated and no user input is required. The entire balance sheet is calculated based on the values on the monthly income statement and cash flow statement. Opening balances at the start of the cash flow projection period can be included on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24</xdr:col>
      <xdr:colOff>581520</xdr:colOff>
      <xdr:row>7</xdr:row>
      <xdr:rowOff>74191</xdr:rowOff>
    </xdr:from>
    <xdr:to>
      <xdr:col>25</xdr:col>
      <xdr:colOff>41914</xdr:colOff>
      <xdr:row>7</xdr:row>
      <xdr:rowOff>146191</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800-000004000000}"/>
            </a:ext>
          </a:extLst>
        </xdr:cNvPr>
        <xdr:cNvSpPr>
          <a:spLocks noChangeArrowheads="1"/>
        </xdr:cNvSpPr>
      </xdr:nvSpPr>
      <xdr:spPr bwMode="auto">
        <a:xfrm>
          <a:off x="23481625" y="146383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12</xdr:col>
      <xdr:colOff>178467</xdr:colOff>
      <xdr:row>2</xdr:row>
      <xdr:rowOff>144595</xdr:rowOff>
    </xdr:from>
    <xdr:ext cx="6481012" cy="1692982"/>
    <xdr:sp macro="" textlink="">
      <xdr:nvSpPr>
        <xdr:cNvPr id="5" name="Rectangle 17">
          <a:extLst>
            <a:ext uri="{FF2B5EF4-FFF2-40B4-BE49-F238E27FC236}">
              <a16:creationId xmlns:a16="http://schemas.microsoft.com/office/drawing/2014/main" id="{C91AFE9E-EB46-4D51-A0EC-57B1BFF01564}"/>
            </a:ext>
          </a:extLst>
        </xdr:cNvPr>
        <xdr:cNvSpPr>
          <a:spLocks noChangeArrowheads="1"/>
        </xdr:cNvSpPr>
      </xdr:nvSpPr>
      <xdr:spPr bwMode="auto">
        <a:xfrm>
          <a:off x="12210046" y="545648"/>
          <a:ext cx="648101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Additional loan amounts can be added in column C. The interest charges and capital repayment amounts of each amortization table are automatically included on the income statement and cash flow statement. The template therefore accommodates automated loan calculations based on four different sets of loan repayment terms.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E5BE001C-BC0C-432B-9935-D2A131EA2DA7}"/>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165"/>
  <sheetViews>
    <sheetView zoomScale="95" workbookViewId="0">
      <pane ySplit="8" topLeftCell="A9" activePane="bottomLeft" state="frozen"/>
      <selection pane="bottomLeft" activeCell="D13" sqref="D13"/>
    </sheetView>
  </sheetViews>
  <sheetFormatPr defaultColWidth="9.140625" defaultRowHeight="16.149999999999999" customHeight="1" x14ac:dyDescent="0.25"/>
  <cols>
    <col min="1" max="1" width="15.7109375" style="100" customWidth="1"/>
    <col min="2" max="7" width="13.7109375" style="11" customWidth="1"/>
    <col min="8" max="20" width="15.7109375" style="5" customWidth="1"/>
    <col min="21" max="16384" width="9.140625" style="5"/>
  </cols>
  <sheetData>
    <row r="1" spans="1:9" ht="16.149999999999999" customHeight="1" x14ac:dyDescent="0.25">
      <c r="A1" s="135" t="str">
        <f>IF(ISBLANK(Assumptions!$C$4),"Example Limited",Assumptions!$C$4)</f>
        <v>Maisha Transport Company Limited</v>
      </c>
      <c r="B1" s="3"/>
      <c r="C1" s="3"/>
      <c r="G1" s="99"/>
    </row>
    <row r="2" spans="1:9" ht="16.149999999999999" customHeight="1" x14ac:dyDescent="0.25">
      <c r="A2" s="6" t="s">
        <v>177</v>
      </c>
    </row>
    <row r="3" spans="1:9" ht="16.149999999999999" customHeight="1" x14ac:dyDescent="0.25">
      <c r="A3" s="6"/>
    </row>
    <row r="4" spans="1:9" ht="16.149999999999999" customHeight="1" x14ac:dyDescent="0.25">
      <c r="A4" s="100" t="s">
        <v>33</v>
      </c>
      <c r="B4" s="101">
        <f>Assumptions!$E$72</f>
        <v>0</v>
      </c>
      <c r="C4" s="102"/>
    </row>
    <row r="5" spans="1:9" ht="16.149999999999999" customHeight="1" x14ac:dyDescent="0.25">
      <c r="A5" s="100" t="s">
        <v>38</v>
      </c>
      <c r="B5" s="103">
        <f>Assumptions!$E$73</f>
        <v>5</v>
      </c>
      <c r="C5" s="104"/>
    </row>
    <row r="6" spans="1:9" ht="16.149999999999999" customHeight="1" x14ac:dyDescent="0.25">
      <c r="A6" s="100" t="s">
        <v>39</v>
      </c>
      <c r="B6" s="105" t="str">
        <f>Assumptions!$E$74</f>
        <v>No</v>
      </c>
      <c r="C6" s="106"/>
    </row>
    <row r="7" spans="1:9" ht="16.149999999999999" customHeight="1" x14ac:dyDescent="0.25">
      <c r="A7" s="30" t="s">
        <v>57</v>
      </c>
    </row>
    <row r="8" spans="1:9" s="81" customFormat="1" ht="25.5" x14ac:dyDescent="0.25">
      <c r="A8" s="107" t="s">
        <v>46</v>
      </c>
      <c r="B8" s="108" t="s">
        <v>43</v>
      </c>
      <c r="C8" s="108" t="s">
        <v>252</v>
      </c>
      <c r="D8" s="108" t="s">
        <v>42</v>
      </c>
      <c r="E8" s="108" t="s">
        <v>253</v>
      </c>
      <c r="F8" s="108" t="s">
        <v>56</v>
      </c>
      <c r="G8" s="108" t="s">
        <v>44</v>
      </c>
    </row>
    <row r="9" spans="1:9" s="113" customFormat="1" ht="16.149999999999999" customHeight="1" x14ac:dyDescent="0.25">
      <c r="A9" s="109">
        <f ca="1">IF(ISBLANK(Assumptions!$C$5)=TRUE,DATE(YEAR(TODAY()),MONTH(TODAY()),0),DATE(YEAR(Assumptions!$C$5),MONTH(Assumptions!$C$5),0))</f>
        <v>45838</v>
      </c>
      <c r="B9" s="110">
        <v>0</v>
      </c>
      <c r="C9" s="110">
        <f ca="1">-SUMIF(Assumptions!$A$76:$C$100,"LT3",Assumptions!$C$76:$C$100)</f>
        <v>0</v>
      </c>
      <c r="D9" s="110">
        <v>0</v>
      </c>
      <c r="E9" s="110">
        <v>0</v>
      </c>
      <c r="F9" s="111">
        <f>IF($B$6="Yes",0,D9-E9)</f>
        <v>0</v>
      </c>
      <c r="G9" s="112">
        <f ca="1">IF(ROUND(SUM(B9:C9,-F9),0)=0,0,IF($B$6="Yes",SUM($C$9:C9),SUM(B9:C9,-F9)))</f>
        <v>0</v>
      </c>
      <c r="I9" s="114"/>
    </row>
    <row r="10" spans="1:9" s="113" customFormat="1" ht="16.149999999999999" customHeight="1" x14ac:dyDescent="0.25">
      <c r="A10" s="109">
        <f ca="1">DATE(YEAR(A9),MONTH(A9)+2,0)</f>
        <v>45869</v>
      </c>
      <c r="B10" s="110">
        <f ca="1">G9</f>
        <v>0</v>
      </c>
      <c r="C10" s="115">
        <v>0</v>
      </c>
      <c r="D10" s="111">
        <f ca="1">IF($B$6="Yes",0,IF(ROW(C10)-ROW($C$9)&gt;$B$5*12,-PMT($B$4/12,$B$5*12,SUM(OFFSET(C10,0,0,-$B$5*12,1)),0,0),-PMT($B$4/12,$B$5*12,SUM(OFFSET(C10,0,0,ROW($C$8)-ROW(C10),1)),0,0)))</f>
        <v>0</v>
      </c>
      <c r="E10" s="111">
        <f ca="1">(G9+C10)*$B$4/12</f>
        <v>0</v>
      </c>
      <c r="F10" s="111">
        <f t="shared" ref="F10:F73" ca="1" si="0">IF($B$6="Yes",0,D10-E10)</f>
        <v>0</v>
      </c>
      <c r="G10" s="112">
        <f ca="1">IF(ROUND(SUM(B10:C10,-F10),0)=0,0,IF($B$6="Yes",SUM($C$9:C10),SUM(B10:C10,-F10)))</f>
        <v>0</v>
      </c>
      <c r="I10" s="114"/>
    </row>
    <row r="11" spans="1:9" s="113" customFormat="1" ht="16.149999999999999" customHeight="1" x14ac:dyDescent="0.25">
      <c r="A11" s="109">
        <f t="shared" ref="A11:A74" ca="1" si="1">DATE(YEAR(A10),MONTH(A10)+2,0)</f>
        <v>45900</v>
      </c>
      <c r="B11" s="110">
        <f t="shared" ref="B11:B74" ca="1" si="2">G10</f>
        <v>0</v>
      </c>
      <c r="C11" s="115">
        <v>0</v>
      </c>
      <c r="D11" s="111">
        <f t="shared" ref="D11:D74" ca="1" si="3">IF($B$6="Yes",0,IF(ROW(C11)-ROW($C$9)&gt;$B$5*12,-PMT($B$4/12,$B$5*12,SUM(OFFSET(C11,0,0,-$B$5*12,1)),0,0),-PMT($B$4/12,$B$5*12,SUM(OFFSET(C11,0,0,ROW($C$8)-ROW(C11),1)),0,0)))</f>
        <v>0</v>
      </c>
      <c r="E11" s="111">
        <f t="shared" ref="E11:E74" ca="1" si="4">(G10+C11)*$B$4/12</f>
        <v>0</v>
      </c>
      <c r="F11" s="111">
        <f t="shared" ca="1" si="0"/>
        <v>0</v>
      </c>
      <c r="G11" s="112">
        <f ca="1">IF(ROUND(SUM(B11:C11,-F11),0)=0,0,IF($B$6="Yes",SUM($C$9:C11),SUM(B11:C11,-F11)))</f>
        <v>0</v>
      </c>
    </row>
    <row r="12" spans="1:9" s="113" customFormat="1" ht="16.149999999999999" customHeight="1" x14ac:dyDescent="0.25">
      <c r="A12" s="109">
        <f t="shared" ca="1" si="1"/>
        <v>45930</v>
      </c>
      <c r="B12" s="110">
        <f t="shared" ca="1" si="2"/>
        <v>0</v>
      </c>
      <c r="C12" s="115">
        <v>0</v>
      </c>
      <c r="D12" s="111">
        <f t="shared" ca="1" si="3"/>
        <v>0</v>
      </c>
      <c r="E12" s="111">
        <f t="shared" ca="1" si="4"/>
        <v>0</v>
      </c>
      <c r="F12" s="111">
        <f t="shared" ca="1" si="0"/>
        <v>0</v>
      </c>
      <c r="G12" s="112">
        <f ca="1">IF(ROUND(SUM(B12:C12,-F12),0)=0,0,IF($B$6="Yes",SUM($C$9:C12),SUM(B12:C12,-F12)))</f>
        <v>0</v>
      </c>
    </row>
    <row r="13" spans="1:9" s="113" customFormat="1" ht="16.149999999999999" customHeight="1" x14ac:dyDescent="0.25">
      <c r="A13" s="109">
        <f t="shared" ca="1" si="1"/>
        <v>45961</v>
      </c>
      <c r="B13" s="110">
        <f t="shared" ca="1" si="2"/>
        <v>0</v>
      </c>
      <c r="C13" s="115">
        <v>0</v>
      </c>
      <c r="D13" s="111">
        <f t="shared" ca="1" si="3"/>
        <v>0</v>
      </c>
      <c r="E13" s="111">
        <f t="shared" ca="1" si="4"/>
        <v>0</v>
      </c>
      <c r="F13" s="111">
        <f t="shared" ca="1" si="0"/>
        <v>0</v>
      </c>
      <c r="G13" s="112">
        <f ca="1">IF(ROUND(SUM(B13:C13,-F13),0)=0,0,IF($B$6="Yes",SUM($C$9:C13),SUM(B13:C13,-F13)))</f>
        <v>0</v>
      </c>
    </row>
    <row r="14" spans="1:9" s="113" customFormat="1" ht="16.149999999999999" customHeight="1" x14ac:dyDescent="0.25">
      <c r="A14" s="109">
        <f t="shared" ca="1" si="1"/>
        <v>45991</v>
      </c>
      <c r="B14" s="110">
        <f t="shared" ca="1" si="2"/>
        <v>0</v>
      </c>
      <c r="C14" s="115">
        <v>0</v>
      </c>
      <c r="D14" s="111">
        <f t="shared" ca="1" si="3"/>
        <v>0</v>
      </c>
      <c r="E14" s="111">
        <f t="shared" ca="1" si="4"/>
        <v>0</v>
      </c>
      <c r="F14" s="111">
        <f t="shared" ca="1" si="0"/>
        <v>0</v>
      </c>
      <c r="G14" s="112">
        <f ca="1">IF(ROUND(SUM(B14:C14,-F14),0)=0,0,IF($B$6="Yes",SUM($C$9:C14),SUM(B14:C14,-F14)))</f>
        <v>0</v>
      </c>
    </row>
    <row r="15" spans="1:9" s="113" customFormat="1" ht="16.149999999999999" customHeight="1" x14ac:dyDescent="0.25">
      <c r="A15" s="109">
        <f t="shared" ca="1" si="1"/>
        <v>46022</v>
      </c>
      <c r="B15" s="110">
        <f t="shared" ca="1" si="2"/>
        <v>0</v>
      </c>
      <c r="C15" s="115">
        <v>0</v>
      </c>
      <c r="D15" s="111">
        <f t="shared" ca="1" si="3"/>
        <v>0</v>
      </c>
      <c r="E15" s="111">
        <f t="shared" ca="1" si="4"/>
        <v>0</v>
      </c>
      <c r="F15" s="111">
        <f t="shared" ca="1" si="0"/>
        <v>0</v>
      </c>
      <c r="G15" s="112">
        <f ca="1">IF(ROUND(SUM(B15:C15,-F15),0)=0,0,IF($B$6="Yes",SUM($C$9:C15),SUM(B15:C15,-F15)))</f>
        <v>0</v>
      </c>
    </row>
    <row r="16" spans="1:9" s="113" customFormat="1" ht="16.149999999999999" customHeight="1" x14ac:dyDescent="0.25">
      <c r="A16" s="109">
        <f t="shared" ca="1" si="1"/>
        <v>46053</v>
      </c>
      <c r="B16" s="110">
        <f t="shared" ca="1" si="2"/>
        <v>0</v>
      </c>
      <c r="C16" s="115">
        <v>0</v>
      </c>
      <c r="D16" s="111">
        <f t="shared" ca="1" si="3"/>
        <v>0</v>
      </c>
      <c r="E16" s="111">
        <f t="shared" ca="1" si="4"/>
        <v>0</v>
      </c>
      <c r="F16" s="111">
        <f t="shared" ca="1" si="0"/>
        <v>0</v>
      </c>
      <c r="G16" s="112">
        <f ca="1">IF(ROUND(SUM(B16:C16,-F16),0)=0,0,IF($B$6="Yes",SUM($C$9:C16),SUM(B16:C16,-F16)))</f>
        <v>0</v>
      </c>
    </row>
    <row r="17" spans="1:7" s="113" customFormat="1" ht="16.149999999999999" customHeight="1" x14ac:dyDescent="0.25">
      <c r="A17" s="109">
        <f t="shared" ca="1" si="1"/>
        <v>46081</v>
      </c>
      <c r="B17" s="110">
        <f t="shared" ca="1" si="2"/>
        <v>0</v>
      </c>
      <c r="C17" s="115">
        <v>0</v>
      </c>
      <c r="D17" s="111">
        <f t="shared" ca="1" si="3"/>
        <v>0</v>
      </c>
      <c r="E17" s="111">
        <f t="shared" ca="1" si="4"/>
        <v>0</v>
      </c>
      <c r="F17" s="111">
        <f t="shared" ca="1" si="0"/>
        <v>0</v>
      </c>
      <c r="G17" s="112">
        <f ca="1">IF(ROUND(SUM(B17:C17,-F17),0)=0,0,IF($B$6="Yes",SUM($C$9:C17),SUM(B17:C17,-F17)))</f>
        <v>0</v>
      </c>
    </row>
    <row r="18" spans="1:7" s="113" customFormat="1" ht="16.149999999999999" customHeight="1" x14ac:dyDescent="0.25">
      <c r="A18" s="109">
        <f t="shared" ca="1" si="1"/>
        <v>46112</v>
      </c>
      <c r="B18" s="110">
        <f t="shared" ca="1" si="2"/>
        <v>0</v>
      </c>
      <c r="C18" s="115">
        <v>0</v>
      </c>
      <c r="D18" s="111">
        <f t="shared" ca="1" si="3"/>
        <v>0</v>
      </c>
      <c r="E18" s="111">
        <f t="shared" ca="1" si="4"/>
        <v>0</v>
      </c>
      <c r="F18" s="111">
        <f t="shared" ca="1" si="0"/>
        <v>0</v>
      </c>
      <c r="G18" s="112">
        <f ca="1">IF(ROUND(SUM(B18:C18,-F18),0)=0,0,IF($B$6="Yes",SUM($C$9:C18),SUM(B18:C18,-F18)))</f>
        <v>0</v>
      </c>
    </row>
    <row r="19" spans="1:7" s="113" customFormat="1" ht="16.149999999999999" customHeight="1" x14ac:dyDescent="0.25">
      <c r="A19" s="109">
        <f t="shared" ca="1" si="1"/>
        <v>46142</v>
      </c>
      <c r="B19" s="110">
        <f t="shared" ca="1" si="2"/>
        <v>0</v>
      </c>
      <c r="C19" s="115">
        <v>0</v>
      </c>
      <c r="D19" s="111">
        <f t="shared" ca="1" si="3"/>
        <v>0</v>
      </c>
      <c r="E19" s="111">
        <f t="shared" ca="1" si="4"/>
        <v>0</v>
      </c>
      <c r="F19" s="111">
        <f t="shared" ca="1" si="0"/>
        <v>0</v>
      </c>
      <c r="G19" s="112">
        <f ca="1">IF(ROUND(SUM(B19:C19,-F19),0)=0,0,IF($B$6="Yes",SUM($C$9:C19),SUM(B19:C19,-F19)))</f>
        <v>0</v>
      </c>
    </row>
    <row r="20" spans="1:7" ht="16.149999999999999" customHeight="1" x14ac:dyDescent="0.25">
      <c r="A20" s="109">
        <f t="shared" ca="1" si="1"/>
        <v>46173</v>
      </c>
      <c r="B20" s="110">
        <f t="shared" ca="1" si="2"/>
        <v>0</v>
      </c>
      <c r="C20" s="115">
        <v>0</v>
      </c>
      <c r="D20" s="111">
        <f t="shared" ca="1" si="3"/>
        <v>0</v>
      </c>
      <c r="E20" s="111">
        <f t="shared" ca="1" si="4"/>
        <v>0</v>
      </c>
      <c r="F20" s="111">
        <f t="shared" ca="1" si="0"/>
        <v>0</v>
      </c>
      <c r="G20" s="112">
        <f ca="1">IF(ROUND(SUM(B20:C20,-F20),0)=0,0,IF($B$6="Yes",SUM($C$9:C20),SUM(B20:C20,-F20)))</f>
        <v>0</v>
      </c>
    </row>
    <row r="21" spans="1:7" ht="16.149999999999999" customHeight="1" x14ac:dyDescent="0.25">
      <c r="A21" s="109">
        <f t="shared" ca="1" si="1"/>
        <v>46203</v>
      </c>
      <c r="B21" s="110">
        <f t="shared" ca="1" si="2"/>
        <v>0</v>
      </c>
      <c r="C21" s="115">
        <v>0</v>
      </c>
      <c r="D21" s="111">
        <f t="shared" ca="1" si="3"/>
        <v>0</v>
      </c>
      <c r="E21" s="111">
        <f t="shared" ca="1" si="4"/>
        <v>0</v>
      </c>
      <c r="F21" s="111">
        <f t="shared" ca="1" si="0"/>
        <v>0</v>
      </c>
      <c r="G21" s="112">
        <f ca="1">IF(ROUND(SUM(B21:C21,-F21),0)=0,0,IF($B$6="Yes",SUM($C$9:C21),SUM(B21:C21,-F21)))</f>
        <v>0</v>
      </c>
    </row>
    <row r="22" spans="1:7" ht="16.149999999999999" customHeight="1" x14ac:dyDescent="0.25">
      <c r="A22" s="109">
        <f t="shared" ca="1" si="1"/>
        <v>46234</v>
      </c>
      <c r="B22" s="110">
        <f t="shared" ca="1" si="2"/>
        <v>0</v>
      </c>
      <c r="C22" s="115">
        <v>0</v>
      </c>
      <c r="D22" s="111">
        <f t="shared" ca="1" si="3"/>
        <v>0</v>
      </c>
      <c r="E22" s="111">
        <f t="shared" ca="1" si="4"/>
        <v>0</v>
      </c>
      <c r="F22" s="111">
        <f t="shared" ca="1" si="0"/>
        <v>0</v>
      </c>
      <c r="G22" s="112">
        <f ca="1">IF(ROUND(SUM(B22:C22,-F22),0)=0,0,IF($B$6="Yes",SUM($C$9:C22),SUM(B22:C22,-F22)))</f>
        <v>0</v>
      </c>
    </row>
    <row r="23" spans="1:7" s="64" customFormat="1" ht="16.149999999999999" customHeight="1" x14ac:dyDescent="0.25">
      <c r="A23" s="109">
        <f t="shared" ca="1" si="1"/>
        <v>46265</v>
      </c>
      <c r="B23" s="110">
        <f t="shared" ca="1" si="2"/>
        <v>0</v>
      </c>
      <c r="C23" s="115">
        <v>0</v>
      </c>
      <c r="D23" s="111">
        <f t="shared" ca="1" si="3"/>
        <v>0</v>
      </c>
      <c r="E23" s="111">
        <f t="shared" ca="1" si="4"/>
        <v>0</v>
      </c>
      <c r="F23" s="111">
        <f t="shared" ca="1" si="0"/>
        <v>0</v>
      </c>
      <c r="G23" s="112">
        <f ca="1">IF(ROUND(SUM(B23:C23,-F23),0)=0,0,IF($B$6="Yes",SUM($C$9:C23),SUM(B23:C23,-F23)))</f>
        <v>0</v>
      </c>
    </row>
    <row r="24" spans="1:7" ht="16.149999999999999" customHeight="1" x14ac:dyDescent="0.25">
      <c r="A24" s="109">
        <f t="shared" ca="1" si="1"/>
        <v>46295</v>
      </c>
      <c r="B24" s="110">
        <f t="shared" ca="1" si="2"/>
        <v>0</v>
      </c>
      <c r="C24" s="115">
        <v>0</v>
      </c>
      <c r="D24" s="111">
        <f t="shared" ca="1" si="3"/>
        <v>0</v>
      </c>
      <c r="E24" s="111">
        <f t="shared" ca="1" si="4"/>
        <v>0</v>
      </c>
      <c r="F24" s="111">
        <f t="shared" ca="1" si="0"/>
        <v>0</v>
      </c>
      <c r="G24" s="112">
        <f ca="1">IF(ROUND(SUM(B24:C24,-F24),0)=0,0,IF($B$6="Yes",SUM($C$9:C24),SUM(B24:C24,-F24)))</f>
        <v>0</v>
      </c>
    </row>
    <row r="25" spans="1:7" ht="16.149999999999999" customHeight="1" x14ac:dyDescent="0.25">
      <c r="A25" s="109">
        <f t="shared" ca="1" si="1"/>
        <v>46326</v>
      </c>
      <c r="B25" s="110">
        <f t="shared" ca="1" si="2"/>
        <v>0</v>
      </c>
      <c r="C25" s="115">
        <v>0</v>
      </c>
      <c r="D25" s="111">
        <f t="shared" ca="1" si="3"/>
        <v>0</v>
      </c>
      <c r="E25" s="111">
        <f t="shared" ca="1" si="4"/>
        <v>0</v>
      </c>
      <c r="F25" s="111">
        <f t="shared" ca="1" si="0"/>
        <v>0</v>
      </c>
      <c r="G25" s="112">
        <f ca="1">IF(ROUND(SUM(B25:C25,-F25),0)=0,0,IF($B$6="Yes",SUM($C$9:C25),SUM(B25:C25,-F25)))</f>
        <v>0</v>
      </c>
    </row>
    <row r="26" spans="1:7" ht="16.149999999999999" customHeight="1" x14ac:dyDescent="0.25">
      <c r="A26" s="109">
        <f t="shared" ca="1" si="1"/>
        <v>46356</v>
      </c>
      <c r="B26" s="110">
        <f t="shared" ca="1" si="2"/>
        <v>0</v>
      </c>
      <c r="C26" s="115">
        <v>0</v>
      </c>
      <c r="D26" s="111">
        <f t="shared" ca="1" si="3"/>
        <v>0</v>
      </c>
      <c r="E26" s="111">
        <f t="shared" ca="1" si="4"/>
        <v>0</v>
      </c>
      <c r="F26" s="111">
        <f t="shared" ca="1" si="0"/>
        <v>0</v>
      </c>
      <c r="G26" s="112">
        <f ca="1">IF(ROUND(SUM(B26:C26,-F26),0)=0,0,IF($B$6="Yes",SUM($C$9:C26),SUM(B26:C26,-F26)))</f>
        <v>0</v>
      </c>
    </row>
    <row r="27" spans="1:7" ht="16.149999999999999" customHeight="1" x14ac:dyDescent="0.25">
      <c r="A27" s="109">
        <f t="shared" ca="1" si="1"/>
        <v>46387</v>
      </c>
      <c r="B27" s="110">
        <f t="shared" ca="1" si="2"/>
        <v>0</v>
      </c>
      <c r="C27" s="115">
        <v>0</v>
      </c>
      <c r="D27" s="111">
        <f t="shared" ca="1" si="3"/>
        <v>0</v>
      </c>
      <c r="E27" s="111">
        <f t="shared" ca="1" si="4"/>
        <v>0</v>
      </c>
      <c r="F27" s="111">
        <f t="shared" ca="1" si="0"/>
        <v>0</v>
      </c>
      <c r="G27" s="112">
        <f ca="1">IF(ROUND(SUM(B27:C27,-F27),0)=0,0,IF($B$6="Yes",SUM($C$9:C27),SUM(B27:C27,-F27)))</f>
        <v>0</v>
      </c>
    </row>
    <row r="28" spans="1:7" ht="16.149999999999999" customHeight="1" x14ac:dyDescent="0.25">
      <c r="A28" s="109">
        <f t="shared" ca="1" si="1"/>
        <v>46418</v>
      </c>
      <c r="B28" s="110">
        <f t="shared" ca="1" si="2"/>
        <v>0</v>
      </c>
      <c r="C28" s="115">
        <v>0</v>
      </c>
      <c r="D28" s="111">
        <f t="shared" ca="1" si="3"/>
        <v>0</v>
      </c>
      <c r="E28" s="111">
        <f t="shared" ca="1" si="4"/>
        <v>0</v>
      </c>
      <c r="F28" s="111">
        <f t="shared" ca="1" si="0"/>
        <v>0</v>
      </c>
      <c r="G28" s="112">
        <f ca="1">IF(ROUND(SUM(B28:C28,-F28),0)=0,0,IF($B$6="Yes",SUM($C$9:C28),SUM(B28:C28,-F28)))</f>
        <v>0</v>
      </c>
    </row>
    <row r="29" spans="1:7" ht="16.149999999999999" customHeight="1" x14ac:dyDescent="0.25">
      <c r="A29" s="109">
        <f t="shared" ca="1" si="1"/>
        <v>46446</v>
      </c>
      <c r="B29" s="110">
        <f t="shared" ca="1" si="2"/>
        <v>0</v>
      </c>
      <c r="C29" s="115">
        <v>0</v>
      </c>
      <c r="D29" s="111">
        <f t="shared" ca="1" si="3"/>
        <v>0</v>
      </c>
      <c r="E29" s="111">
        <f t="shared" ca="1" si="4"/>
        <v>0</v>
      </c>
      <c r="F29" s="111">
        <f t="shared" ca="1" si="0"/>
        <v>0</v>
      </c>
      <c r="G29" s="112">
        <f ca="1">IF(ROUND(SUM(B29:C29,-F29),0)=0,0,IF($B$6="Yes",SUM($C$9:C29),SUM(B29:C29,-F29)))</f>
        <v>0</v>
      </c>
    </row>
    <row r="30" spans="1:7" ht="16.149999999999999" customHeight="1" x14ac:dyDescent="0.25">
      <c r="A30" s="109">
        <f t="shared" ca="1" si="1"/>
        <v>46477</v>
      </c>
      <c r="B30" s="110">
        <f t="shared" ca="1" si="2"/>
        <v>0</v>
      </c>
      <c r="C30" s="115">
        <v>0</v>
      </c>
      <c r="D30" s="111">
        <f t="shared" ca="1" si="3"/>
        <v>0</v>
      </c>
      <c r="E30" s="111">
        <f t="shared" ca="1" si="4"/>
        <v>0</v>
      </c>
      <c r="F30" s="111">
        <f t="shared" ca="1" si="0"/>
        <v>0</v>
      </c>
      <c r="G30" s="112">
        <f ca="1">IF(ROUND(SUM(B30:C30,-F30),0)=0,0,IF($B$6="Yes",SUM($C$9:C30),SUM(B30:C30,-F30)))</f>
        <v>0</v>
      </c>
    </row>
    <row r="31" spans="1:7" ht="16.149999999999999" customHeight="1" x14ac:dyDescent="0.25">
      <c r="A31" s="109">
        <f t="shared" ca="1" si="1"/>
        <v>46507</v>
      </c>
      <c r="B31" s="110">
        <f t="shared" ca="1" si="2"/>
        <v>0</v>
      </c>
      <c r="C31" s="115">
        <v>0</v>
      </c>
      <c r="D31" s="111">
        <f t="shared" ca="1" si="3"/>
        <v>0</v>
      </c>
      <c r="E31" s="111">
        <f t="shared" ca="1" si="4"/>
        <v>0</v>
      </c>
      <c r="F31" s="111">
        <f t="shared" ca="1" si="0"/>
        <v>0</v>
      </c>
      <c r="G31" s="112">
        <f ca="1">IF(ROUND(SUM(B31:C31,-F31),0)=0,0,IF($B$6="Yes",SUM($C$9:C31),SUM(B31:C31,-F31)))</f>
        <v>0</v>
      </c>
    </row>
    <row r="32" spans="1:7" ht="16.149999999999999" customHeight="1" x14ac:dyDescent="0.25">
      <c r="A32" s="109">
        <f t="shared" ca="1" si="1"/>
        <v>46538</v>
      </c>
      <c r="B32" s="110">
        <f t="shared" ca="1" si="2"/>
        <v>0</v>
      </c>
      <c r="C32" s="115">
        <v>0</v>
      </c>
      <c r="D32" s="111">
        <f t="shared" ca="1" si="3"/>
        <v>0</v>
      </c>
      <c r="E32" s="111">
        <f t="shared" ca="1" si="4"/>
        <v>0</v>
      </c>
      <c r="F32" s="111">
        <f t="shared" ca="1" si="0"/>
        <v>0</v>
      </c>
      <c r="G32" s="112">
        <f ca="1">IF(ROUND(SUM(B32:C32,-F32),0)=0,0,IF($B$6="Yes",SUM($C$9:C32),SUM(B32:C32,-F32)))</f>
        <v>0</v>
      </c>
    </row>
    <row r="33" spans="1:7" ht="16.149999999999999" customHeight="1" x14ac:dyDescent="0.25">
      <c r="A33" s="109">
        <f t="shared" ca="1" si="1"/>
        <v>46568</v>
      </c>
      <c r="B33" s="110">
        <f t="shared" ca="1" si="2"/>
        <v>0</v>
      </c>
      <c r="C33" s="115">
        <v>0</v>
      </c>
      <c r="D33" s="111">
        <f t="shared" ca="1" si="3"/>
        <v>0</v>
      </c>
      <c r="E33" s="111">
        <f t="shared" ca="1" si="4"/>
        <v>0</v>
      </c>
      <c r="F33" s="111">
        <f t="shared" ca="1" si="0"/>
        <v>0</v>
      </c>
      <c r="G33" s="112">
        <f ca="1">IF(ROUND(SUM(B33:C33,-F33),0)=0,0,IF($B$6="Yes",SUM($C$9:C33),SUM(B33:C33,-F33)))</f>
        <v>0</v>
      </c>
    </row>
    <row r="34" spans="1:7" ht="16.149999999999999" customHeight="1" x14ac:dyDescent="0.25">
      <c r="A34" s="109">
        <f t="shared" ca="1" si="1"/>
        <v>46599</v>
      </c>
      <c r="B34" s="110">
        <f t="shared" ca="1" si="2"/>
        <v>0</v>
      </c>
      <c r="C34" s="115">
        <v>0</v>
      </c>
      <c r="D34" s="111">
        <f t="shared" ca="1" si="3"/>
        <v>0</v>
      </c>
      <c r="E34" s="111">
        <f t="shared" ca="1" si="4"/>
        <v>0</v>
      </c>
      <c r="F34" s="111">
        <f t="shared" ca="1" si="0"/>
        <v>0</v>
      </c>
      <c r="G34" s="112">
        <f ca="1">IF(ROUND(SUM(B34:C34,-F34),0)=0,0,IF($B$6="Yes",SUM($C$9:C34),SUM(B34:C34,-F34)))</f>
        <v>0</v>
      </c>
    </row>
    <row r="35" spans="1:7" ht="16.149999999999999" customHeight="1" x14ac:dyDescent="0.25">
      <c r="A35" s="109">
        <f t="shared" ca="1" si="1"/>
        <v>46630</v>
      </c>
      <c r="B35" s="110">
        <f t="shared" ca="1" si="2"/>
        <v>0</v>
      </c>
      <c r="C35" s="115">
        <v>0</v>
      </c>
      <c r="D35" s="111">
        <f t="shared" ca="1" si="3"/>
        <v>0</v>
      </c>
      <c r="E35" s="111">
        <f t="shared" ca="1" si="4"/>
        <v>0</v>
      </c>
      <c r="F35" s="111">
        <f t="shared" ca="1" si="0"/>
        <v>0</v>
      </c>
      <c r="G35" s="112">
        <f ca="1">IF(ROUND(SUM(B35:C35,-F35),0)=0,0,IF($B$6="Yes",SUM($C$9:C35),SUM(B35:C35,-F35)))</f>
        <v>0</v>
      </c>
    </row>
    <row r="36" spans="1:7" ht="16.149999999999999" customHeight="1" x14ac:dyDescent="0.25">
      <c r="A36" s="109">
        <f t="shared" ca="1" si="1"/>
        <v>46660</v>
      </c>
      <c r="B36" s="110">
        <f t="shared" ca="1" si="2"/>
        <v>0</v>
      </c>
      <c r="C36" s="115">
        <v>0</v>
      </c>
      <c r="D36" s="111">
        <f t="shared" ca="1" si="3"/>
        <v>0</v>
      </c>
      <c r="E36" s="111">
        <f t="shared" ca="1" si="4"/>
        <v>0</v>
      </c>
      <c r="F36" s="111">
        <f t="shared" ca="1" si="0"/>
        <v>0</v>
      </c>
      <c r="G36" s="112">
        <f ca="1">IF(ROUND(SUM(B36:C36,-F36),0)=0,0,IF($B$6="Yes",SUM($C$9:C36),SUM(B36:C36,-F36)))</f>
        <v>0</v>
      </c>
    </row>
    <row r="37" spans="1:7" ht="16.149999999999999" customHeight="1" x14ac:dyDescent="0.25">
      <c r="A37" s="109">
        <f t="shared" ca="1" si="1"/>
        <v>46691</v>
      </c>
      <c r="B37" s="110">
        <f t="shared" ca="1" si="2"/>
        <v>0</v>
      </c>
      <c r="C37" s="115">
        <v>0</v>
      </c>
      <c r="D37" s="111">
        <f t="shared" ca="1" si="3"/>
        <v>0</v>
      </c>
      <c r="E37" s="111">
        <f t="shared" ca="1" si="4"/>
        <v>0</v>
      </c>
      <c r="F37" s="111">
        <f t="shared" ca="1" si="0"/>
        <v>0</v>
      </c>
      <c r="G37" s="112">
        <f ca="1">IF(ROUND(SUM(B37:C37,-F37),0)=0,0,IF($B$6="Yes",SUM($C$9:C37),SUM(B37:C37,-F37)))</f>
        <v>0</v>
      </c>
    </row>
    <row r="38" spans="1:7" ht="16.149999999999999" customHeight="1" x14ac:dyDescent="0.25">
      <c r="A38" s="109">
        <f t="shared" ca="1" si="1"/>
        <v>46721</v>
      </c>
      <c r="B38" s="110">
        <f t="shared" ca="1" si="2"/>
        <v>0</v>
      </c>
      <c r="C38" s="115">
        <v>0</v>
      </c>
      <c r="D38" s="111">
        <f t="shared" ca="1" si="3"/>
        <v>0</v>
      </c>
      <c r="E38" s="111">
        <f t="shared" ca="1" si="4"/>
        <v>0</v>
      </c>
      <c r="F38" s="111">
        <f t="shared" ca="1" si="0"/>
        <v>0</v>
      </c>
      <c r="G38" s="112">
        <f ca="1">IF(ROUND(SUM(B38:C38,-F38),0)=0,0,IF($B$6="Yes",SUM($C$9:C38),SUM(B38:C38,-F38)))</f>
        <v>0</v>
      </c>
    </row>
    <row r="39" spans="1:7" ht="16.149999999999999" customHeight="1" x14ac:dyDescent="0.25">
      <c r="A39" s="109">
        <f t="shared" ca="1" si="1"/>
        <v>46752</v>
      </c>
      <c r="B39" s="110">
        <f t="shared" ca="1" si="2"/>
        <v>0</v>
      </c>
      <c r="C39" s="115">
        <v>0</v>
      </c>
      <c r="D39" s="111">
        <f t="shared" ca="1" si="3"/>
        <v>0</v>
      </c>
      <c r="E39" s="111">
        <f t="shared" ca="1" si="4"/>
        <v>0</v>
      </c>
      <c r="F39" s="111">
        <f t="shared" ca="1" si="0"/>
        <v>0</v>
      </c>
      <c r="G39" s="112">
        <f ca="1">IF(ROUND(SUM(B39:C39,-F39),0)=0,0,IF($B$6="Yes",SUM($C$9:C39),SUM(B39:C39,-F39)))</f>
        <v>0</v>
      </c>
    </row>
    <row r="40" spans="1:7" ht="16.149999999999999" customHeight="1" x14ac:dyDescent="0.25">
      <c r="A40" s="109">
        <f t="shared" ca="1" si="1"/>
        <v>46783</v>
      </c>
      <c r="B40" s="110">
        <f t="shared" ca="1" si="2"/>
        <v>0</v>
      </c>
      <c r="C40" s="115">
        <v>0</v>
      </c>
      <c r="D40" s="111">
        <f t="shared" ca="1" si="3"/>
        <v>0</v>
      </c>
      <c r="E40" s="111">
        <f t="shared" ca="1" si="4"/>
        <v>0</v>
      </c>
      <c r="F40" s="111">
        <f t="shared" ca="1" si="0"/>
        <v>0</v>
      </c>
      <c r="G40" s="112">
        <f ca="1">IF(ROUND(SUM(B40:C40,-F40),0)=0,0,IF($B$6="Yes",SUM($C$9:C40),SUM(B40:C40,-F40)))</f>
        <v>0</v>
      </c>
    </row>
    <row r="41" spans="1:7" ht="16.149999999999999" customHeight="1" x14ac:dyDescent="0.25">
      <c r="A41" s="109">
        <f t="shared" ca="1" si="1"/>
        <v>46812</v>
      </c>
      <c r="B41" s="110">
        <f t="shared" ca="1" si="2"/>
        <v>0</v>
      </c>
      <c r="C41" s="115">
        <v>0</v>
      </c>
      <c r="D41" s="111">
        <f t="shared" ca="1" si="3"/>
        <v>0</v>
      </c>
      <c r="E41" s="111">
        <f t="shared" ca="1" si="4"/>
        <v>0</v>
      </c>
      <c r="F41" s="111">
        <f t="shared" ca="1" si="0"/>
        <v>0</v>
      </c>
      <c r="G41" s="112">
        <f ca="1">IF(ROUND(SUM(B41:C41,-F41),0)=0,0,IF($B$6="Yes",SUM($C$9:C41),SUM(B41:C41,-F41)))</f>
        <v>0</v>
      </c>
    </row>
    <row r="42" spans="1:7" ht="16.149999999999999" customHeight="1" x14ac:dyDescent="0.25">
      <c r="A42" s="109">
        <f t="shared" ca="1" si="1"/>
        <v>46843</v>
      </c>
      <c r="B42" s="110">
        <f t="shared" ca="1" si="2"/>
        <v>0</v>
      </c>
      <c r="C42" s="115">
        <v>0</v>
      </c>
      <c r="D42" s="111">
        <f t="shared" ca="1" si="3"/>
        <v>0</v>
      </c>
      <c r="E42" s="111">
        <f t="shared" ca="1" si="4"/>
        <v>0</v>
      </c>
      <c r="F42" s="111">
        <f t="shared" ca="1" si="0"/>
        <v>0</v>
      </c>
      <c r="G42" s="112">
        <f ca="1">IF(ROUND(SUM(B42:C42,-F42),0)=0,0,IF($B$6="Yes",SUM($C$9:C42),SUM(B42:C42,-F42)))</f>
        <v>0</v>
      </c>
    </row>
    <row r="43" spans="1:7" ht="16.149999999999999" customHeight="1" x14ac:dyDescent="0.25">
      <c r="A43" s="109">
        <f t="shared" ca="1" si="1"/>
        <v>46873</v>
      </c>
      <c r="B43" s="110">
        <f t="shared" ca="1" si="2"/>
        <v>0</v>
      </c>
      <c r="C43" s="115">
        <v>0</v>
      </c>
      <c r="D43" s="111">
        <f t="shared" ca="1" si="3"/>
        <v>0</v>
      </c>
      <c r="E43" s="111">
        <f t="shared" ca="1" si="4"/>
        <v>0</v>
      </c>
      <c r="F43" s="111">
        <f t="shared" ca="1" si="0"/>
        <v>0</v>
      </c>
      <c r="G43" s="112">
        <f ca="1">IF(ROUND(SUM(B43:C43,-F43),0)=0,0,IF($B$6="Yes",SUM($C$9:C43),SUM(B43:C43,-F43)))</f>
        <v>0</v>
      </c>
    </row>
    <row r="44" spans="1:7" ht="16.149999999999999" customHeight="1" x14ac:dyDescent="0.25">
      <c r="A44" s="109">
        <f t="shared" ca="1" si="1"/>
        <v>46904</v>
      </c>
      <c r="B44" s="110">
        <f t="shared" ca="1" si="2"/>
        <v>0</v>
      </c>
      <c r="C44" s="115">
        <v>0</v>
      </c>
      <c r="D44" s="111">
        <f t="shared" ca="1" si="3"/>
        <v>0</v>
      </c>
      <c r="E44" s="111">
        <f t="shared" ca="1" si="4"/>
        <v>0</v>
      </c>
      <c r="F44" s="111">
        <f t="shared" ca="1" si="0"/>
        <v>0</v>
      </c>
      <c r="G44" s="112">
        <f ca="1">IF(ROUND(SUM(B44:C44,-F44),0)=0,0,IF($B$6="Yes",SUM($C$9:C44),SUM(B44:C44,-F44)))</f>
        <v>0</v>
      </c>
    </row>
    <row r="45" spans="1:7" ht="16.149999999999999" customHeight="1" x14ac:dyDescent="0.25">
      <c r="A45" s="109">
        <f t="shared" ca="1" si="1"/>
        <v>46934</v>
      </c>
      <c r="B45" s="110">
        <f t="shared" ca="1" si="2"/>
        <v>0</v>
      </c>
      <c r="C45" s="115">
        <v>0</v>
      </c>
      <c r="D45" s="111">
        <f t="shared" ca="1" si="3"/>
        <v>0</v>
      </c>
      <c r="E45" s="111">
        <f t="shared" ca="1" si="4"/>
        <v>0</v>
      </c>
      <c r="F45" s="111">
        <f t="shared" ca="1" si="0"/>
        <v>0</v>
      </c>
      <c r="G45" s="112">
        <f ca="1">IF(ROUND(SUM(B45:C45,-F45),0)=0,0,IF($B$6="Yes",SUM($C$9:C45),SUM(B45:C45,-F45)))</f>
        <v>0</v>
      </c>
    </row>
    <row r="46" spans="1:7" ht="16.149999999999999" customHeight="1" x14ac:dyDescent="0.25">
      <c r="A46" s="109">
        <f t="shared" ca="1" si="1"/>
        <v>46965</v>
      </c>
      <c r="B46" s="110">
        <f t="shared" ca="1" si="2"/>
        <v>0</v>
      </c>
      <c r="C46" s="115">
        <v>0</v>
      </c>
      <c r="D46" s="111">
        <f t="shared" ca="1" si="3"/>
        <v>0</v>
      </c>
      <c r="E46" s="111">
        <f t="shared" ca="1" si="4"/>
        <v>0</v>
      </c>
      <c r="F46" s="111">
        <f t="shared" ca="1" si="0"/>
        <v>0</v>
      </c>
      <c r="G46" s="112">
        <f ca="1">IF(ROUND(SUM(B46:C46,-F46),0)=0,0,IF($B$6="Yes",SUM($C$9:C46),SUM(B46:C46,-F46)))</f>
        <v>0</v>
      </c>
    </row>
    <row r="47" spans="1:7" ht="16.149999999999999" customHeight="1" x14ac:dyDescent="0.25">
      <c r="A47" s="109">
        <f t="shared" ca="1" si="1"/>
        <v>46996</v>
      </c>
      <c r="B47" s="110">
        <f t="shared" ca="1" si="2"/>
        <v>0</v>
      </c>
      <c r="C47" s="115">
        <v>0</v>
      </c>
      <c r="D47" s="111">
        <f t="shared" ca="1" si="3"/>
        <v>0</v>
      </c>
      <c r="E47" s="111">
        <f t="shared" ca="1" si="4"/>
        <v>0</v>
      </c>
      <c r="F47" s="111">
        <f t="shared" ca="1" si="0"/>
        <v>0</v>
      </c>
      <c r="G47" s="112">
        <f ca="1">IF(ROUND(SUM(B47:C47,-F47),0)=0,0,IF($B$6="Yes",SUM($C$9:C47),SUM(B47:C47,-F47)))</f>
        <v>0</v>
      </c>
    </row>
    <row r="48" spans="1:7" ht="16.149999999999999" customHeight="1" x14ac:dyDescent="0.25">
      <c r="A48" s="109">
        <f t="shared" ca="1" si="1"/>
        <v>47026</v>
      </c>
      <c r="B48" s="110">
        <f t="shared" ca="1" si="2"/>
        <v>0</v>
      </c>
      <c r="C48" s="115">
        <v>0</v>
      </c>
      <c r="D48" s="111">
        <f t="shared" ca="1" si="3"/>
        <v>0</v>
      </c>
      <c r="E48" s="111">
        <f t="shared" ca="1" si="4"/>
        <v>0</v>
      </c>
      <c r="F48" s="111">
        <f t="shared" ca="1" si="0"/>
        <v>0</v>
      </c>
      <c r="G48" s="112">
        <f ca="1">IF(ROUND(SUM(B48:C48,-F48),0)=0,0,IF($B$6="Yes",SUM($C$9:C48),SUM(B48:C48,-F48)))</f>
        <v>0</v>
      </c>
    </row>
    <row r="49" spans="1:7" ht="16.149999999999999" customHeight="1" x14ac:dyDescent="0.25">
      <c r="A49" s="109">
        <f t="shared" ca="1" si="1"/>
        <v>47057</v>
      </c>
      <c r="B49" s="110">
        <f t="shared" ca="1" si="2"/>
        <v>0</v>
      </c>
      <c r="C49" s="115">
        <v>0</v>
      </c>
      <c r="D49" s="111">
        <f t="shared" ca="1" si="3"/>
        <v>0</v>
      </c>
      <c r="E49" s="111">
        <f t="shared" ca="1" si="4"/>
        <v>0</v>
      </c>
      <c r="F49" s="111">
        <f t="shared" ca="1" si="0"/>
        <v>0</v>
      </c>
      <c r="G49" s="112">
        <f ca="1">IF(ROUND(SUM(B49:C49,-F49),0)=0,0,IF($B$6="Yes",SUM($C$9:C49),SUM(B49:C49,-F49)))</f>
        <v>0</v>
      </c>
    </row>
    <row r="50" spans="1:7" ht="16.149999999999999" customHeight="1" x14ac:dyDescent="0.25">
      <c r="A50" s="109">
        <f t="shared" ca="1" si="1"/>
        <v>47087</v>
      </c>
      <c r="B50" s="110">
        <f t="shared" ca="1" si="2"/>
        <v>0</v>
      </c>
      <c r="C50" s="115">
        <v>0</v>
      </c>
      <c r="D50" s="111">
        <f t="shared" ca="1" si="3"/>
        <v>0</v>
      </c>
      <c r="E50" s="111">
        <f t="shared" ca="1" si="4"/>
        <v>0</v>
      </c>
      <c r="F50" s="111">
        <f t="shared" ca="1" si="0"/>
        <v>0</v>
      </c>
      <c r="G50" s="112">
        <f ca="1">IF(ROUND(SUM(B50:C50,-F50),0)=0,0,IF($B$6="Yes",SUM($C$9:C50),SUM(B50:C50,-F50)))</f>
        <v>0</v>
      </c>
    </row>
    <row r="51" spans="1:7" ht="16.149999999999999" customHeight="1" x14ac:dyDescent="0.25">
      <c r="A51" s="109">
        <f t="shared" ca="1" si="1"/>
        <v>47118</v>
      </c>
      <c r="B51" s="110">
        <f t="shared" ca="1" si="2"/>
        <v>0</v>
      </c>
      <c r="C51" s="115">
        <v>0</v>
      </c>
      <c r="D51" s="111">
        <f t="shared" ca="1" si="3"/>
        <v>0</v>
      </c>
      <c r="E51" s="111">
        <f t="shared" ca="1" si="4"/>
        <v>0</v>
      </c>
      <c r="F51" s="111">
        <f t="shared" ca="1" si="0"/>
        <v>0</v>
      </c>
      <c r="G51" s="112">
        <f ca="1">IF(ROUND(SUM(B51:C51,-F51),0)=0,0,IF($B$6="Yes",SUM($C$9:C51),SUM(B51:C51,-F51)))</f>
        <v>0</v>
      </c>
    </row>
    <row r="52" spans="1:7" ht="16.149999999999999" customHeight="1" x14ac:dyDescent="0.25">
      <c r="A52" s="109">
        <f t="shared" ca="1" si="1"/>
        <v>47149</v>
      </c>
      <c r="B52" s="110">
        <f t="shared" ca="1" si="2"/>
        <v>0</v>
      </c>
      <c r="C52" s="115">
        <v>0</v>
      </c>
      <c r="D52" s="111">
        <f t="shared" ca="1" si="3"/>
        <v>0</v>
      </c>
      <c r="E52" s="111">
        <f t="shared" ca="1" si="4"/>
        <v>0</v>
      </c>
      <c r="F52" s="111">
        <f t="shared" ca="1" si="0"/>
        <v>0</v>
      </c>
      <c r="G52" s="112">
        <f ca="1">IF(ROUND(SUM(B52:C52,-F52),0)=0,0,IF($B$6="Yes",SUM($C$9:C52),SUM(B52:C52,-F52)))</f>
        <v>0</v>
      </c>
    </row>
    <row r="53" spans="1:7" ht="16.149999999999999" customHeight="1" x14ac:dyDescent="0.25">
      <c r="A53" s="109">
        <f t="shared" ca="1" si="1"/>
        <v>47177</v>
      </c>
      <c r="B53" s="110">
        <f t="shared" ca="1" si="2"/>
        <v>0</v>
      </c>
      <c r="C53" s="115">
        <v>0</v>
      </c>
      <c r="D53" s="111">
        <f t="shared" ca="1" si="3"/>
        <v>0</v>
      </c>
      <c r="E53" s="111">
        <f t="shared" ca="1" si="4"/>
        <v>0</v>
      </c>
      <c r="F53" s="111">
        <f t="shared" ca="1" si="0"/>
        <v>0</v>
      </c>
      <c r="G53" s="112">
        <f ca="1">IF(ROUND(SUM(B53:C53,-F53),0)=0,0,IF($B$6="Yes",SUM($C$9:C53),SUM(B53:C53,-F53)))</f>
        <v>0</v>
      </c>
    </row>
    <row r="54" spans="1:7" ht="16.149999999999999" customHeight="1" x14ac:dyDescent="0.25">
      <c r="A54" s="109">
        <f t="shared" ca="1" si="1"/>
        <v>47208</v>
      </c>
      <c r="B54" s="110">
        <f t="shared" ca="1" si="2"/>
        <v>0</v>
      </c>
      <c r="C54" s="115">
        <v>0</v>
      </c>
      <c r="D54" s="111">
        <f t="shared" ca="1" si="3"/>
        <v>0</v>
      </c>
      <c r="E54" s="111">
        <f t="shared" ca="1" si="4"/>
        <v>0</v>
      </c>
      <c r="F54" s="111">
        <f t="shared" ca="1" si="0"/>
        <v>0</v>
      </c>
      <c r="G54" s="112">
        <f ca="1">IF(ROUND(SUM(B54:C54,-F54),0)=0,0,IF($B$6="Yes",SUM($C$9:C54),SUM(B54:C54,-F54)))</f>
        <v>0</v>
      </c>
    </row>
    <row r="55" spans="1:7" ht="16.149999999999999" customHeight="1" x14ac:dyDescent="0.25">
      <c r="A55" s="109">
        <f t="shared" ca="1" si="1"/>
        <v>47238</v>
      </c>
      <c r="B55" s="110">
        <f t="shared" ca="1" si="2"/>
        <v>0</v>
      </c>
      <c r="C55" s="115">
        <v>0</v>
      </c>
      <c r="D55" s="111">
        <f t="shared" ca="1" si="3"/>
        <v>0</v>
      </c>
      <c r="E55" s="111">
        <f t="shared" ca="1" si="4"/>
        <v>0</v>
      </c>
      <c r="F55" s="111">
        <f t="shared" ca="1" si="0"/>
        <v>0</v>
      </c>
      <c r="G55" s="112">
        <f ca="1">IF(ROUND(SUM(B55:C55,-F55),0)=0,0,IF($B$6="Yes",SUM($C$9:C55),SUM(B55:C55,-F55)))</f>
        <v>0</v>
      </c>
    </row>
    <row r="56" spans="1:7" ht="16.149999999999999" customHeight="1" x14ac:dyDescent="0.25">
      <c r="A56" s="109">
        <f t="shared" ca="1" si="1"/>
        <v>47269</v>
      </c>
      <c r="B56" s="110">
        <f t="shared" ca="1" si="2"/>
        <v>0</v>
      </c>
      <c r="C56" s="115">
        <v>0</v>
      </c>
      <c r="D56" s="111">
        <f t="shared" ca="1" si="3"/>
        <v>0</v>
      </c>
      <c r="E56" s="111">
        <f t="shared" ca="1" si="4"/>
        <v>0</v>
      </c>
      <c r="F56" s="111">
        <f t="shared" ca="1" si="0"/>
        <v>0</v>
      </c>
      <c r="G56" s="112">
        <f ca="1">IF(ROUND(SUM(B56:C56,-F56),0)=0,0,IF($B$6="Yes",SUM($C$9:C56),SUM(B56:C56,-F56)))</f>
        <v>0</v>
      </c>
    </row>
    <row r="57" spans="1:7" ht="16.149999999999999" customHeight="1" x14ac:dyDescent="0.25">
      <c r="A57" s="109">
        <f t="shared" ca="1" si="1"/>
        <v>47299</v>
      </c>
      <c r="B57" s="110">
        <f t="shared" ca="1" si="2"/>
        <v>0</v>
      </c>
      <c r="C57" s="115">
        <v>0</v>
      </c>
      <c r="D57" s="111">
        <f t="shared" ca="1" si="3"/>
        <v>0</v>
      </c>
      <c r="E57" s="111">
        <f t="shared" ca="1" si="4"/>
        <v>0</v>
      </c>
      <c r="F57" s="111">
        <f t="shared" ca="1" si="0"/>
        <v>0</v>
      </c>
      <c r="G57" s="112">
        <f ca="1">IF(ROUND(SUM(B57:C57,-F57),0)=0,0,IF($B$6="Yes",SUM($C$9:C57),SUM(B57:C57,-F57)))</f>
        <v>0</v>
      </c>
    </row>
    <row r="58" spans="1:7" ht="16.149999999999999" customHeight="1" x14ac:dyDescent="0.25">
      <c r="A58" s="109">
        <f t="shared" ca="1" si="1"/>
        <v>47330</v>
      </c>
      <c r="B58" s="110">
        <f t="shared" ca="1" si="2"/>
        <v>0</v>
      </c>
      <c r="C58" s="115">
        <v>0</v>
      </c>
      <c r="D58" s="111">
        <f t="shared" ca="1" si="3"/>
        <v>0</v>
      </c>
      <c r="E58" s="111">
        <f t="shared" ca="1" si="4"/>
        <v>0</v>
      </c>
      <c r="F58" s="111">
        <f t="shared" ca="1" si="0"/>
        <v>0</v>
      </c>
      <c r="G58" s="112">
        <f ca="1">IF(ROUND(SUM(B58:C58,-F58),0)=0,0,IF($B$6="Yes",SUM($C$9:C58),SUM(B58:C58,-F58)))</f>
        <v>0</v>
      </c>
    </row>
    <row r="59" spans="1:7" ht="16.149999999999999" customHeight="1" x14ac:dyDescent="0.25">
      <c r="A59" s="109">
        <f t="shared" ca="1" si="1"/>
        <v>47361</v>
      </c>
      <c r="B59" s="110">
        <f t="shared" ca="1" si="2"/>
        <v>0</v>
      </c>
      <c r="C59" s="115">
        <v>0</v>
      </c>
      <c r="D59" s="111">
        <f t="shared" ca="1" si="3"/>
        <v>0</v>
      </c>
      <c r="E59" s="111">
        <f t="shared" ca="1" si="4"/>
        <v>0</v>
      </c>
      <c r="F59" s="111">
        <f t="shared" ca="1" si="0"/>
        <v>0</v>
      </c>
      <c r="G59" s="112">
        <f ca="1">IF(ROUND(SUM(B59:C59,-F59),0)=0,0,IF($B$6="Yes",SUM($C$9:C59),SUM(B59:C59,-F59)))</f>
        <v>0</v>
      </c>
    </row>
    <row r="60" spans="1:7" ht="16.149999999999999" customHeight="1" x14ac:dyDescent="0.25">
      <c r="A60" s="109">
        <f t="shared" ca="1" si="1"/>
        <v>47391</v>
      </c>
      <c r="B60" s="110">
        <f t="shared" ca="1" si="2"/>
        <v>0</v>
      </c>
      <c r="C60" s="115">
        <v>0</v>
      </c>
      <c r="D60" s="111">
        <f t="shared" ca="1" si="3"/>
        <v>0</v>
      </c>
      <c r="E60" s="111">
        <f t="shared" ca="1" si="4"/>
        <v>0</v>
      </c>
      <c r="F60" s="111">
        <f t="shared" ca="1" si="0"/>
        <v>0</v>
      </c>
      <c r="G60" s="112">
        <f ca="1">IF(ROUND(SUM(B60:C60,-F60),0)=0,0,IF($B$6="Yes",SUM($C$9:C60),SUM(B60:C60,-F60)))</f>
        <v>0</v>
      </c>
    </row>
    <row r="61" spans="1:7" ht="16.149999999999999" customHeight="1" x14ac:dyDescent="0.25">
      <c r="A61" s="109">
        <f t="shared" ca="1" si="1"/>
        <v>47422</v>
      </c>
      <c r="B61" s="110">
        <f t="shared" ca="1" si="2"/>
        <v>0</v>
      </c>
      <c r="C61" s="115">
        <v>0</v>
      </c>
      <c r="D61" s="111">
        <f t="shared" ca="1" si="3"/>
        <v>0</v>
      </c>
      <c r="E61" s="111">
        <f t="shared" ca="1" si="4"/>
        <v>0</v>
      </c>
      <c r="F61" s="111">
        <f t="shared" ca="1" si="0"/>
        <v>0</v>
      </c>
      <c r="G61" s="112">
        <f ca="1">IF(ROUND(SUM(B61:C61,-F61),0)=0,0,IF($B$6="Yes",SUM($C$9:C61),SUM(B61:C61,-F61)))</f>
        <v>0</v>
      </c>
    </row>
    <row r="62" spans="1:7" ht="16.149999999999999" customHeight="1" x14ac:dyDescent="0.25">
      <c r="A62" s="109">
        <f t="shared" ca="1" si="1"/>
        <v>47452</v>
      </c>
      <c r="B62" s="110">
        <f t="shared" ca="1" si="2"/>
        <v>0</v>
      </c>
      <c r="C62" s="115">
        <v>0</v>
      </c>
      <c r="D62" s="111">
        <f t="shared" ca="1" si="3"/>
        <v>0</v>
      </c>
      <c r="E62" s="111">
        <f t="shared" ca="1" si="4"/>
        <v>0</v>
      </c>
      <c r="F62" s="111">
        <f t="shared" ca="1" si="0"/>
        <v>0</v>
      </c>
      <c r="G62" s="112">
        <f ca="1">IF(ROUND(SUM(B62:C62,-F62),0)=0,0,IF($B$6="Yes",SUM($C$9:C62),SUM(B62:C62,-F62)))</f>
        <v>0</v>
      </c>
    </row>
    <row r="63" spans="1:7" ht="16.149999999999999" customHeight="1" x14ac:dyDescent="0.25">
      <c r="A63" s="109">
        <f t="shared" ca="1" si="1"/>
        <v>47483</v>
      </c>
      <c r="B63" s="110">
        <f t="shared" ca="1" si="2"/>
        <v>0</v>
      </c>
      <c r="C63" s="115">
        <v>0</v>
      </c>
      <c r="D63" s="111">
        <f t="shared" ca="1" si="3"/>
        <v>0</v>
      </c>
      <c r="E63" s="111">
        <f t="shared" ca="1" si="4"/>
        <v>0</v>
      </c>
      <c r="F63" s="111">
        <f t="shared" ca="1" si="0"/>
        <v>0</v>
      </c>
      <c r="G63" s="112">
        <f ca="1">IF(ROUND(SUM(B63:C63,-F63),0)=0,0,IF($B$6="Yes",SUM($C$9:C63),SUM(B63:C63,-F63)))</f>
        <v>0</v>
      </c>
    </row>
    <row r="64" spans="1:7" ht="16.149999999999999" customHeight="1" x14ac:dyDescent="0.25">
      <c r="A64" s="109">
        <f t="shared" ca="1" si="1"/>
        <v>47514</v>
      </c>
      <c r="B64" s="110">
        <f t="shared" ca="1" si="2"/>
        <v>0</v>
      </c>
      <c r="C64" s="115">
        <v>0</v>
      </c>
      <c r="D64" s="111">
        <f t="shared" ca="1" si="3"/>
        <v>0</v>
      </c>
      <c r="E64" s="111">
        <f t="shared" ca="1" si="4"/>
        <v>0</v>
      </c>
      <c r="F64" s="111">
        <f t="shared" ca="1" si="0"/>
        <v>0</v>
      </c>
      <c r="G64" s="112">
        <f ca="1">IF(ROUND(SUM(B64:C64,-F64),0)=0,0,IF($B$6="Yes",SUM($C$9:C64),SUM(B64:C64,-F64)))</f>
        <v>0</v>
      </c>
    </row>
    <row r="65" spans="1:7" ht="16.149999999999999" customHeight="1" x14ac:dyDescent="0.25">
      <c r="A65" s="109">
        <f t="shared" ca="1" si="1"/>
        <v>47542</v>
      </c>
      <c r="B65" s="110">
        <f t="shared" ca="1" si="2"/>
        <v>0</v>
      </c>
      <c r="C65" s="115">
        <v>0</v>
      </c>
      <c r="D65" s="111">
        <f t="shared" ca="1" si="3"/>
        <v>0</v>
      </c>
      <c r="E65" s="111">
        <f t="shared" ca="1" si="4"/>
        <v>0</v>
      </c>
      <c r="F65" s="111">
        <f t="shared" ca="1" si="0"/>
        <v>0</v>
      </c>
      <c r="G65" s="112">
        <f ca="1">IF(ROUND(SUM(B65:C65,-F65),0)=0,0,IF($B$6="Yes",SUM($C$9:C65),SUM(B65:C65,-F65)))</f>
        <v>0</v>
      </c>
    </row>
    <row r="66" spans="1:7" ht="16.149999999999999" customHeight="1" x14ac:dyDescent="0.25">
      <c r="A66" s="109">
        <f t="shared" ca="1" si="1"/>
        <v>47573</v>
      </c>
      <c r="B66" s="110">
        <f t="shared" ca="1" si="2"/>
        <v>0</v>
      </c>
      <c r="C66" s="115">
        <v>0</v>
      </c>
      <c r="D66" s="111">
        <f t="shared" ca="1" si="3"/>
        <v>0</v>
      </c>
      <c r="E66" s="111">
        <f t="shared" ca="1" si="4"/>
        <v>0</v>
      </c>
      <c r="F66" s="111">
        <f t="shared" ca="1" si="0"/>
        <v>0</v>
      </c>
      <c r="G66" s="112">
        <f ca="1">IF(ROUND(SUM(B66:C66,-F66),0)=0,0,IF($B$6="Yes",SUM($C$9:C66),SUM(B66:C66,-F66)))</f>
        <v>0</v>
      </c>
    </row>
    <row r="67" spans="1:7" ht="16.149999999999999" customHeight="1" x14ac:dyDescent="0.25">
      <c r="A67" s="109">
        <f t="shared" ca="1" si="1"/>
        <v>47603</v>
      </c>
      <c r="B67" s="110">
        <f t="shared" ca="1" si="2"/>
        <v>0</v>
      </c>
      <c r="C67" s="115">
        <v>0</v>
      </c>
      <c r="D67" s="111">
        <f t="shared" ca="1" si="3"/>
        <v>0</v>
      </c>
      <c r="E67" s="111">
        <f t="shared" ca="1" si="4"/>
        <v>0</v>
      </c>
      <c r="F67" s="111">
        <f t="shared" ca="1" si="0"/>
        <v>0</v>
      </c>
      <c r="G67" s="112">
        <f ca="1">IF(ROUND(SUM(B67:C67,-F67),0)=0,0,IF($B$6="Yes",SUM($C$9:C67),SUM(B67:C67,-F67)))</f>
        <v>0</v>
      </c>
    </row>
    <row r="68" spans="1:7" ht="16.149999999999999" customHeight="1" x14ac:dyDescent="0.25">
      <c r="A68" s="109">
        <f t="shared" ca="1" si="1"/>
        <v>47634</v>
      </c>
      <c r="B68" s="110">
        <f t="shared" ca="1" si="2"/>
        <v>0</v>
      </c>
      <c r="C68" s="115">
        <v>0</v>
      </c>
      <c r="D68" s="111">
        <f t="shared" ca="1" si="3"/>
        <v>0</v>
      </c>
      <c r="E68" s="111">
        <f t="shared" ca="1" si="4"/>
        <v>0</v>
      </c>
      <c r="F68" s="111">
        <f t="shared" ca="1" si="0"/>
        <v>0</v>
      </c>
      <c r="G68" s="112">
        <f ca="1">IF(ROUND(SUM(B68:C68,-F68),0)=0,0,IF($B$6="Yes",SUM($C$9:C68),SUM(B68:C68,-F68)))</f>
        <v>0</v>
      </c>
    </row>
    <row r="69" spans="1:7" ht="16.149999999999999" customHeight="1" x14ac:dyDescent="0.25">
      <c r="A69" s="109">
        <f t="shared" ca="1" si="1"/>
        <v>47664</v>
      </c>
      <c r="B69" s="110">
        <f t="shared" ca="1" si="2"/>
        <v>0</v>
      </c>
      <c r="C69" s="115">
        <v>0</v>
      </c>
      <c r="D69" s="111">
        <f t="shared" ca="1" si="3"/>
        <v>0</v>
      </c>
      <c r="E69" s="111">
        <f t="shared" ca="1" si="4"/>
        <v>0</v>
      </c>
      <c r="F69" s="111">
        <f t="shared" ca="1" si="0"/>
        <v>0</v>
      </c>
      <c r="G69" s="112">
        <f ca="1">IF(ROUND(SUM(B69:C69,-F69),0)=0,0,IF($B$6="Yes",SUM($C$9:C69),SUM(B69:C69,-F69)))</f>
        <v>0</v>
      </c>
    </row>
    <row r="70" spans="1:7" ht="16.149999999999999" customHeight="1" x14ac:dyDescent="0.25">
      <c r="A70" s="109">
        <f t="shared" ca="1" si="1"/>
        <v>47695</v>
      </c>
      <c r="B70" s="110">
        <f t="shared" ca="1" si="2"/>
        <v>0</v>
      </c>
      <c r="C70" s="115">
        <v>0</v>
      </c>
      <c r="D70" s="111">
        <f t="shared" ca="1" si="3"/>
        <v>0</v>
      </c>
      <c r="E70" s="111">
        <f t="shared" ca="1" si="4"/>
        <v>0</v>
      </c>
      <c r="F70" s="111">
        <f t="shared" ca="1" si="0"/>
        <v>0</v>
      </c>
      <c r="G70" s="112">
        <f ca="1">IF(ROUND(SUM(B70:C70,-F70),0)=0,0,IF($B$6="Yes",SUM($C$9:C70),SUM(B70:C70,-F70)))</f>
        <v>0</v>
      </c>
    </row>
    <row r="71" spans="1:7" ht="16.149999999999999" customHeight="1" x14ac:dyDescent="0.25">
      <c r="A71" s="109">
        <f t="shared" ca="1" si="1"/>
        <v>47726</v>
      </c>
      <c r="B71" s="110">
        <f t="shared" ca="1" si="2"/>
        <v>0</v>
      </c>
      <c r="C71" s="115">
        <v>0</v>
      </c>
      <c r="D71" s="111">
        <f t="shared" ca="1" si="3"/>
        <v>0</v>
      </c>
      <c r="E71" s="111">
        <f t="shared" ca="1" si="4"/>
        <v>0</v>
      </c>
      <c r="F71" s="111">
        <f t="shared" ca="1" si="0"/>
        <v>0</v>
      </c>
      <c r="G71" s="112">
        <f ca="1">IF(ROUND(SUM(B71:C71,-F71),0)=0,0,IF($B$6="Yes",SUM($C$9:C71),SUM(B71:C71,-F71)))</f>
        <v>0</v>
      </c>
    </row>
    <row r="72" spans="1:7" ht="16.149999999999999" customHeight="1" x14ac:dyDescent="0.25">
      <c r="A72" s="109">
        <f t="shared" ca="1" si="1"/>
        <v>47756</v>
      </c>
      <c r="B72" s="110">
        <f t="shared" ca="1" si="2"/>
        <v>0</v>
      </c>
      <c r="C72" s="115">
        <v>0</v>
      </c>
      <c r="D72" s="111">
        <f t="shared" ca="1" si="3"/>
        <v>0</v>
      </c>
      <c r="E72" s="111">
        <f t="shared" ca="1" si="4"/>
        <v>0</v>
      </c>
      <c r="F72" s="111">
        <f t="shared" ca="1" si="0"/>
        <v>0</v>
      </c>
      <c r="G72" s="112">
        <f ca="1">IF(ROUND(SUM(B72:C72,-F72),0)=0,0,IF($B$6="Yes",SUM($C$9:C72),SUM(B72:C72,-F72)))</f>
        <v>0</v>
      </c>
    </row>
    <row r="73" spans="1:7" ht="16.149999999999999" customHeight="1" x14ac:dyDescent="0.25">
      <c r="A73" s="109">
        <f t="shared" ca="1" si="1"/>
        <v>47787</v>
      </c>
      <c r="B73" s="110">
        <f t="shared" ca="1" si="2"/>
        <v>0</v>
      </c>
      <c r="C73" s="115">
        <v>0</v>
      </c>
      <c r="D73" s="111">
        <f t="shared" ca="1" si="3"/>
        <v>0</v>
      </c>
      <c r="E73" s="111">
        <f t="shared" ca="1" si="4"/>
        <v>0</v>
      </c>
      <c r="F73" s="111">
        <f t="shared" ca="1" si="0"/>
        <v>0</v>
      </c>
      <c r="G73" s="112">
        <f ca="1">IF(ROUND(SUM(B73:C73,-F73),0)=0,0,IF($B$6="Yes",SUM($C$9:C73),SUM(B73:C73,-F73)))</f>
        <v>0</v>
      </c>
    </row>
    <row r="74" spans="1:7" ht="16.149999999999999" customHeight="1" x14ac:dyDescent="0.25">
      <c r="A74" s="109">
        <f t="shared" ca="1" si="1"/>
        <v>47817</v>
      </c>
      <c r="B74" s="110">
        <f t="shared" ca="1" si="2"/>
        <v>0</v>
      </c>
      <c r="C74" s="115">
        <v>0</v>
      </c>
      <c r="D74" s="111">
        <f t="shared" ca="1" si="3"/>
        <v>0</v>
      </c>
      <c r="E74" s="111">
        <f t="shared" ca="1" si="4"/>
        <v>0</v>
      </c>
      <c r="F74" s="111">
        <f t="shared" ref="F74:F137" ca="1" si="5">IF($B$6="Yes",0,D74-E74)</f>
        <v>0</v>
      </c>
      <c r="G74" s="112">
        <f ca="1">IF(ROUND(SUM(B74:C74,-F74),0)=0,0,IF($B$6="Yes",SUM($C$9:C74),SUM(B74:C74,-F74)))</f>
        <v>0</v>
      </c>
    </row>
    <row r="75" spans="1:7" ht="16.149999999999999" customHeight="1" x14ac:dyDescent="0.25">
      <c r="A75" s="109">
        <f t="shared" ref="A75:A125" ca="1" si="6">DATE(YEAR(A74),MONTH(A74)+2,0)</f>
        <v>47848</v>
      </c>
      <c r="B75" s="110">
        <f t="shared" ref="B75:B138" ca="1" si="7">G74</f>
        <v>0</v>
      </c>
      <c r="C75" s="115">
        <v>0</v>
      </c>
      <c r="D75" s="111">
        <f t="shared" ref="D75:D138" ca="1" si="8">IF($B$6="Yes",0,IF(ROW(C75)-ROW($C$9)&gt;$B$5*12,-PMT($B$4/12,$B$5*12,SUM(OFFSET(C75,0,0,-$B$5*12,1)),0,0),-PMT($B$4/12,$B$5*12,SUM(OFFSET(C75,0,0,ROW($C$8)-ROW(C75),1)),0,0)))</f>
        <v>0</v>
      </c>
      <c r="E75" s="111">
        <f t="shared" ref="E75:E138" ca="1" si="9">(G74+C75)*$B$4/12</f>
        <v>0</v>
      </c>
      <c r="F75" s="111">
        <f t="shared" ca="1" si="5"/>
        <v>0</v>
      </c>
      <c r="G75" s="112">
        <f ca="1">IF(ROUND(SUM(B75:C75,-F75),0)=0,0,IF($B$6="Yes",SUM($C$9:C75),SUM(B75:C75,-F75)))</f>
        <v>0</v>
      </c>
    </row>
    <row r="76" spans="1:7" ht="16.149999999999999" customHeight="1" x14ac:dyDescent="0.25">
      <c r="A76" s="109">
        <f t="shared" ca="1" si="6"/>
        <v>47879</v>
      </c>
      <c r="B76" s="110">
        <f t="shared" ca="1" si="7"/>
        <v>0</v>
      </c>
      <c r="C76" s="115">
        <v>0</v>
      </c>
      <c r="D76" s="111">
        <f t="shared" ca="1" si="8"/>
        <v>0</v>
      </c>
      <c r="E76" s="111">
        <f t="shared" ca="1" si="9"/>
        <v>0</v>
      </c>
      <c r="F76" s="111">
        <f t="shared" ca="1" si="5"/>
        <v>0</v>
      </c>
      <c r="G76" s="112">
        <f ca="1">IF(ROUND(SUM(B76:C76,-F76),0)=0,0,IF($B$6="Yes",SUM($C$9:C76),SUM(B76:C76,-F76)))</f>
        <v>0</v>
      </c>
    </row>
    <row r="77" spans="1:7" ht="16.149999999999999" customHeight="1" x14ac:dyDescent="0.25">
      <c r="A77" s="109">
        <f t="shared" ca="1" si="6"/>
        <v>47907</v>
      </c>
      <c r="B77" s="110">
        <f t="shared" ca="1" si="7"/>
        <v>0</v>
      </c>
      <c r="C77" s="115">
        <v>0</v>
      </c>
      <c r="D77" s="111">
        <f t="shared" ca="1" si="8"/>
        <v>0</v>
      </c>
      <c r="E77" s="111">
        <f t="shared" ca="1" si="9"/>
        <v>0</v>
      </c>
      <c r="F77" s="111">
        <f t="shared" ca="1" si="5"/>
        <v>0</v>
      </c>
      <c r="G77" s="112">
        <f ca="1">IF(ROUND(SUM(B77:C77,-F77),0)=0,0,IF($B$6="Yes",SUM($C$9:C77),SUM(B77:C77,-F77)))</f>
        <v>0</v>
      </c>
    </row>
    <row r="78" spans="1:7" ht="16.149999999999999" customHeight="1" x14ac:dyDescent="0.25">
      <c r="A78" s="109">
        <f t="shared" ca="1" si="6"/>
        <v>47938</v>
      </c>
      <c r="B78" s="110">
        <f t="shared" ca="1" si="7"/>
        <v>0</v>
      </c>
      <c r="C78" s="115">
        <v>0</v>
      </c>
      <c r="D78" s="111">
        <f t="shared" ca="1" si="8"/>
        <v>0</v>
      </c>
      <c r="E78" s="111">
        <f t="shared" ca="1" si="9"/>
        <v>0</v>
      </c>
      <c r="F78" s="111">
        <f t="shared" ca="1" si="5"/>
        <v>0</v>
      </c>
      <c r="G78" s="112">
        <f ca="1">IF(ROUND(SUM(B78:C78,-F78),0)=0,0,IF($B$6="Yes",SUM($C$9:C78),SUM(B78:C78,-F78)))</f>
        <v>0</v>
      </c>
    </row>
    <row r="79" spans="1:7" ht="16.149999999999999" customHeight="1" x14ac:dyDescent="0.25">
      <c r="A79" s="109">
        <f t="shared" ca="1" si="6"/>
        <v>47968</v>
      </c>
      <c r="B79" s="110">
        <f t="shared" ca="1" si="7"/>
        <v>0</v>
      </c>
      <c r="C79" s="115">
        <v>0</v>
      </c>
      <c r="D79" s="111">
        <f t="shared" ca="1" si="8"/>
        <v>0</v>
      </c>
      <c r="E79" s="111">
        <f t="shared" ca="1" si="9"/>
        <v>0</v>
      </c>
      <c r="F79" s="111">
        <f t="shared" ca="1" si="5"/>
        <v>0</v>
      </c>
      <c r="G79" s="112">
        <f ca="1">IF(ROUND(SUM(B79:C79,-F79),0)=0,0,IF($B$6="Yes",SUM($C$9:C79),SUM(B79:C79,-F79)))</f>
        <v>0</v>
      </c>
    </row>
    <row r="80" spans="1:7" ht="16.149999999999999" customHeight="1" x14ac:dyDescent="0.25">
      <c r="A80" s="109">
        <f t="shared" ca="1" si="6"/>
        <v>47999</v>
      </c>
      <c r="B80" s="110">
        <f t="shared" ca="1" si="7"/>
        <v>0</v>
      </c>
      <c r="C80" s="115">
        <v>0</v>
      </c>
      <c r="D80" s="111">
        <f t="shared" ca="1" si="8"/>
        <v>0</v>
      </c>
      <c r="E80" s="111">
        <f t="shared" ca="1" si="9"/>
        <v>0</v>
      </c>
      <c r="F80" s="111">
        <f t="shared" ca="1" si="5"/>
        <v>0</v>
      </c>
      <c r="G80" s="112">
        <f ca="1">IF(ROUND(SUM(B80:C80,-F80),0)=0,0,IF($B$6="Yes",SUM($C$9:C80),SUM(B80:C80,-F80)))</f>
        <v>0</v>
      </c>
    </row>
    <row r="81" spans="1:7" ht="16.149999999999999" customHeight="1" x14ac:dyDescent="0.25">
      <c r="A81" s="109">
        <f t="shared" ca="1" si="6"/>
        <v>48029</v>
      </c>
      <c r="B81" s="110">
        <f t="shared" ca="1" si="7"/>
        <v>0</v>
      </c>
      <c r="C81" s="115">
        <v>0</v>
      </c>
      <c r="D81" s="111">
        <f t="shared" ca="1" si="8"/>
        <v>0</v>
      </c>
      <c r="E81" s="111">
        <f t="shared" ca="1" si="9"/>
        <v>0</v>
      </c>
      <c r="F81" s="111">
        <f t="shared" ca="1" si="5"/>
        <v>0</v>
      </c>
      <c r="G81" s="112">
        <f ca="1">IF(ROUND(SUM(B81:C81,-F81),0)=0,0,IF($B$6="Yes",SUM($C$9:C81),SUM(B81:C81,-F81)))</f>
        <v>0</v>
      </c>
    </row>
    <row r="82" spans="1:7" ht="16.149999999999999" customHeight="1" x14ac:dyDescent="0.25">
      <c r="A82" s="109">
        <f t="shared" ca="1" si="6"/>
        <v>48060</v>
      </c>
      <c r="B82" s="110">
        <f t="shared" ca="1" si="7"/>
        <v>0</v>
      </c>
      <c r="C82" s="115">
        <v>0</v>
      </c>
      <c r="D82" s="111">
        <f t="shared" ca="1" si="8"/>
        <v>0</v>
      </c>
      <c r="E82" s="111">
        <f t="shared" ca="1" si="9"/>
        <v>0</v>
      </c>
      <c r="F82" s="111">
        <f t="shared" ca="1" si="5"/>
        <v>0</v>
      </c>
      <c r="G82" s="112">
        <f ca="1">IF(ROUND(SUM(B82:C82,-F82),0)=0,0,IF($B$6="Yes",SUM($C$9:C82),SUM(B82:C82,-F82)))</f>
        <v>0</v>
      </c>
    </row>
    <row r="83" spans="1:7" ht="16.149999999999999" customHeight="1" x14ac:dyDescent="0.25">
      <c r="A83" s="109">
        <f t="shared" ca="1" si="6"/>
        <v>48091</v>
      </c>
      <c r="B83" s="110">
        <f t="shared" ca="1" si="7"/>
        <v>0</v>
      </c>
      <c r="C83" s="115">
        <v>0</v>
      </c>
      <c r="D83" s="111">
        <f t="shared" ca="1" si="8"/>
        <v>0</v>
      </c>
      <c r="E83" s="111">
        <f t="shared" ca="1" si="9"/>
        <v>0</v>
      </c>
      <c r="F83" s="111">
        <f t="shared" ca="1" si="5"/>
        <v>0</v>
      </c>
      <c r="G83" s="112">
        <f ca="1">IF(ROUND(SUM(B83:C83,-F83),0)=0,0,IF($B$6="Yes",SUM($C$9:C83),SUM(B83:C83,-F83)))</f>
        <v>0</v>
      </c>
    </row>
    <row r="84" spans="1:7" ht="16.149999999999999" customHeight="1" x14ac:dyDescent="0.25">
      <c r="A84" s="109">
        <f t="shared" ca="1" si="6"/>
        <v>48121</v>
      </c>
      <c r="B84" s="110">
        <f t="shared" ca="1" si="7"/>
        <v>0</v>
      </c>
      <c r="C84" s="115">
        <v>0</v>
      </c>
      <c r="D84" s="111">
        <f t="shared" ca="1" si="8"/>
        <v>0</v>
      </c>
      <c r="E84" s="111">
        <f t="shared" ca="1" si="9"/>
        <v>0</v>
      </c>
      <c r="F84" s="111">
        <f t="shared" ca="1" si="5"/>
        <v>0</v>
      </c>
      <c r="G84" s="112">
        <f ca="1">IF(ROUND(SUM(B84:C84,-F84),0)=0,0,IF($B$6="Yes",SUM($C$9:C84),SUM(B84:C84,-F84)))</f>
        <v>0</v>
      </c>
    </row>
    <row r="85" spans="1:7" ht="16.149999999999999" customHeight="1" x14ac:dyDescent="0.25">
      <c r="A85" s="109">
        <f t="shared" ca="1" si="6"/>
        <v>48152</v>
      </c>
      <c r="B85" s="110">
        <f t="shared" ca="1" si="7"/>
        <v>0</v>
      </c>
      <c r="C85" s="115">
        <v>0</v>
      </c>
      <c r="D85" s="111">
        <f t="shared" ca="1" si="8"/>
        <v>0</v>
      </c>
      <c r="E85" s="111">
        <f t="shared" ca="1" si="9"/>
        <v>0</v>
      </c>
      <c r="F85" s="111">
        <f t="shared" ca="1" si="5"/>
        <v>0</v>
      </c>
      <c r="G85" s="112">
        <f ca="1">IF(ROUND(SUM(B85:C85,-F85),0)=0,0,IF($B$6="Yes",SUM($C$9:C85),SUM(B85:C85,-F85)))</f>
        <v>0</v>
      </c>
    </row>
    <row r="86" spans="1:7" ht="16.149999999999999" customHeight="1" x14ac:dyDescent="0.25">
      <c r="A86" s="109">
        <f t="shared" ca="1" si="6"/>
        <v>48182</v>
      </c>
      <c r="B86" s="110">
        <f t="shared" ca="1" si="7"/>
        <v>0</v>
      </c>
      <c r="C86" s="115">
        <v>0</v>
      </c>
      <c r="D86" s="111">
        <f t="shared" ca="1" si="8"/>
        <v>0</v>
      </c>
      <c r="E86" s="111">
        <f t="shared" ca="1" si="9"/>
        <v>0</v>
      </c>
      <c r="F86" s="111">
        <f t="shared" ca="1" si="5"/>
        <v>0</v>
      </c>
      <c r="G86" s="112">
        <f ca="1">IF(ROUND(SUM(B86:C86,-F86),0)=0,0,IF($B$6="Yes",SUM($C$9:C86),SUM(B86:C86,-F86)))</f>
        <v>0</v>
      </c>
    </row>
    <row r="87" spans="1:7" ht="16.149999999999999" customHeight="1" x14ac:dyDescent="0.25">
      <c r="A87" s="109">
        <f t="shared" ca="1" si="6"/>
        <v>48213</v>
      </c>
      <c r="B87" s="110">
        <f t="shared" ca="1" si="7"/>
        <v>0</v>
      </c>
      <c r="C87" s="115">
        <v>0</v>
      </c>
      <c r="D87" s="111">
        <f t="shared" ca="1" si="8"/>
        <v>0</v>
      </c>
      <c r="E87" s="111">
        <f t="shared" ca="1" si="9"/>
        <v>0</v>
      </c>
      <c r="F87" s="111">
        <f t="shared" ca="1" si="5"/>
        <v>0</v>
      </c>
      <c r="G87" s="112">
        <f ca="1">IF(ROUND(SUM(B87:C87,-F87),0)=0,0,IF($B$6="Yes",SUM($C$9:C87),SUM(B87:C87,-F87)))</f>
        <v>0</v>
      </c>
    </row>
    <row r="88" spans="1:7" ht="16.149999999999999" customHeight="1" x14ac:dyDescent="0.25">
      <c r="A88" s="109">
        <f t="shared" ca="1" si="6"/>
        <v>48244</v>
      </c>
      <c r="B88" s="110">
        <f t="shared" ca="1" si="7"/>
        <v>0</v>
      </c>
      <c r="C88" s="115">
        <v>0</v>
      </c>
      <c r="D88" s="111">
        <f t="shared" ca="1" si="8"/>
        <v>0</v>
      </c>
      <c r="E88" s="111">
        <f t="shared" ca="1" si="9"/>
        <v>0</v>
      </c>
      <c r="F88" s="111">
        <f t="shared" ca="1" si="5"/>
        <v>0</v>
      </c>
      <c r="G88" s="112">
        <f ca="1">IF(ROUND(SUM(B88:C88,-F88),0)=0,0,IF($B$6="Yes",SUM($C$9:C88),SUM(B88:C88,-F88)))</f>
        <v>0</v>
      </c>
    </row>
    <row r="89" spans="1:7" ht="16.149999999999999" customHeight="1" x14ac:dyDescent="0.25">
      <c r="A89" s="109">
        <f t="shared" ca="1" si="6"/>
        <v>48273</v>
      </c>
      <c r="B89" s="110">
        <f t="shared" ca="1" si="7"/>
        <v>0</v>
      </c>
      <c r="C89" s="115">
        <v>0</v>
      </c>
      <c r="D89" s="111">
        <f t="shared" ca="1" si="8"/>
        <v>0</v>
      </c>
      <c r="E89" s="111">
        <f t="shared" ca="1" si="9"/>
        <v>0</v>
      </c>
      <c r="F89" s="111">
        <f t="shared" ca="1" si="5"/>
        <v>0</v>
      </c>
      <c r="G89" s="112">
        <f ca="1">IF(ROUND(SUM(B89:C89,-F89),0)=0,0,IF($B$6="Yes",SUM($C$9:C89),SUM(B89:C89,-F89)))</f>
        <v>0</v>
      </c>
    </row>
    <row r="90" spans="1:7" ht="16.149999999999999" customHeight="1" x14ac:dyDescent="0.25">
      <c r="A90" s="109">
        <f t="shared" ca="1" si="6"/>
        <v>48304</v>
      </c>
      <c r="B90" s="110">
        <f t="shared" ca="1" si="7"/>
        <v>0</v>
      </c>
      <c r="C90" s="115">
        <v>0</v>
      </c>
      <c r="D90" s="111">
        <f t="shared" ca="1" si="8"/>
        <v>0</v>
      </c>
      <c r="E90" s="111">
        <f t="shared" ca="1" si="9"/>
        <v>0</v>
      </c>
      <c r="F90" s="111">
        <f t="shared" ca="1" si="5"/>
        <v>0</v>
      </c>
      <c r="G90" s="112">
        <f ca="1">IF(ROUND(SUM(B90:C90,-F90),0)=0,0,IF($B$6="Yes",SUM($C$9:C90),SUM(B90:C90,-F90)))</f>
        <v>0</v>
      </c>
    </row>
    <row r="91" spans="1:7" ht="16.149999999999999" customHeight="1" x14ac:dyDescent="0.25">
      <c r="A91" s="109">
        <f t="shared" ca="1" si="6"/>
        <v>48334</v>
      </c>
      <c r="B91" s="110">
        <f t="shared" ca="1" si="7"/>
        <v>0</v>
      </c>
      <c r="C91" s="115">
        <v>0</v>
      </c>
      <c r="D91" s="111">
        <f t="shared" ca="1" si="8"/>
        <v>0</v>
      </c>
      <c r="E91" s="111">
        <f t="shared" ca="1" si="9"/>
        <v>0</v>
      </c>
      <c r="F91" s="111">
        <f t="shared" ca="1" si="5"/>
        <v>0</v>
      </c>
      <c r="G91" s="112">
        <f ca="1">IF(ROUND(SUM(B91:C91,-F91),0)=0,0,IF($B$6="Yes",SUM($C$9:C91),SUM(B91:C91,-F91)))</f>
        <v>0</v>
      </c>
    </row>
    <row r="92" spans="1:7" ht="16.149999999999999" customHeight="1" x14ac:dyDescent="0.25">
      <c r="A92" s="109">
        <f t="shared" ca="1" si="6"/>
        <v>48365</v>
      </c>
      <c r="B92" s="110">
        <f t="shared" ca="1" si="7"/>
        <v>0</v>
      </c>
      <c r="C92" s="115">
        <v>0</v>
      </c>
      <c r="D92" s="111">
        <f t="shared" ca="1" si="8"/>
        <v>0</v>
      </c>
      <c r="E92" s="111">
        <f t="shared" ca="1" si="9"/>
        <v>0</v>
      </c>
      <c r="F92" s="111">
        <f t="shared" ca="1" si="5"/>
        <v>0</v>
      </c>
      <c r="G92" s="112">
        <f ca="1">IF(ROUND(SUM(B92:C92,-F92),0)=0,0,IF($B$6="Yes",SUM($C$9:C92),SUM(B92:C92,-F92)))</f>
        <v>0</v>
      </c>
    </row>
    <row r="93" spans="1:7" ht="16.149999999999999" customHeight="1" x14ac:dyDescent="0.25">
      <c r="A93" s="109">
        <f t="shared" ca="1" si="6"/>
        <v>48395</v>
      </c>
      <c r="B93" s="110">
        <f t="shared" ca="1" si="7"/>
        <v>0</v>
      </c>
      <c r="C93" s="115">
        <v>0</v>
      </c>
      <c r="D93" s="111">
        <f t="shared" ca="1" si="8"/>
        <v>0</v>
      </c>
      <c r="E93" s="111">
        <f t="shared" ca="1" si="9"/>
        <v>0</v>
      </c>
      <c r="F93" s="111">
        <f t="shared" ca="1" si="5"/>
        <v>0</v>
      </c>
      <c r="G93" s="112">
        <f ca="1">IF(ROUND(SUM(B93:C93,-F93),0)=0,0,IF($B$6="Yes",SUM($C$9:C93),SUM(B93:C93,-F93)))</f>
        <v>0</v>
      </c>
    </row>
    <row r="94" spans="1:7" ht="16.149999999999999" customHeight="1" x14ac:dyDescent="0.25">
      <c r="A94" s="109">
        <f t="shared" ca="1" si="6"/>
        <v>48426</v>
      </c>
      <c r="B94" s="110">
        <f t="shared" ca="1" si="7"/>
        <v>0</v>
      </c>
      <c r="C94" s="115">
        <v>0</v>
      </c>
      <c r="D94" s="111">
        <f t="shared" ca="1" si="8"/>
        <v>0</v>
      </c>
      <c r="E94" s="111">
        <f t="shared" ca="1" si="9"/>
        <v>0</v>
      </c>
      <c r="F94" s="111">
        <f t="shared" ca="1" si="5"/>
        <v>0</v>
      </c>
      <c r="G94" s="112">
        <f ca="1">IF(ROUND(SUM(B94:C94,-F94),0)=0,0,IF($B$6="Yes",SUM($C$9:C94),SUM(B94:C94,-F94)))</f>
        <v>0</v>
      </c>
    </row>
    <row r="95" spans="1:7" ht="16.149999999999999" customHeight="1" x14ac:dyDescent="0.25">
      <c r="A95" s="109">
        <f t="shared" ca="1" si="6"/>
        <v>48457</v>
      </c>
      <c r="B95" s="110">
        <f t="shared" ca="1" si="7"/>
        <v>0</v>
      </c>
      <c r="C95" s="115">
        <v>0</v>
      </c>
      <c r="D95" s="111">
        <f t="shared" ca="1" si="8"/>
        <v>0</v>
      </c>
      <c r="E95" s="111">
        <f t="shared" ca="1" si="9"/>
        <v>0</v>
      </c>
      <c r="F95" s="111">
        <f t="shared" ca="1" si="5"/>
        <v>0</v>
      </c>
      <c r="G95" s="112">
        <f ca="1">IF(ROUND(SUM(B95:C95,-F95),0)=0,0,IF($B$6="Yes",SUM($C$9:C95),SUM(B95:C95,-F95)))</f>
        <v>0</v>
      </c>
    </row>
    <row r="96" spans="1:7" ht="16.149999999999999" customHeight="1" x14ac:dyDescent="0.25">
      <c r="A96" s="109">
        <f t="shared" ca="1" si="6"/>
        <v>48487</v>
      </c>
      <c r="B96" s="110">
        <f t="shared" ca="1" si="7"/>
        <v>0</v>
      </c>
      <c r="C96" s="115">
        <v>0</v>
      </c>
      <c r="D96" s="111">
        <f t="shared" ca="1" si="8"/>
        <v>0</v>
      </c>
      <c r="E96" s="111">
        <f t="shared" ca="1" si="9"/>
        <v>0</v>
      </c>
      <c r="F96" s="111">
        <f t="shared" ca="1" si="5"/>
        <v>0</v>
      </c>
      <c r="G96" s="112">
        <f ca="1">IF(ROUND(SUM(B96:C96,-F96),0)=0,0,IF($B$6="Yes",SUM($C$9:C96),SUM(B96:C96,-F96)))</f>
        <v>0</v>
      </c>
    </row>
    <row r="97" spans="1:7" ht="16.149999999999999" customHeight="1" x14ac:dyDescent="0.25">
      <c r="A97" s="109">
        <f t="shared" ca="1" si="6"/>
        <v>48518</v>
      </c>
      <c r="B97" s="110">
        <f t="shared" ca="1" si="7"/>
        <v>0</v>
      </c>
      <c r="C97" s="115">
        <v>0</v>
      </c>
      <c r="D97" s="111">
        <f t="shared" ca="1" si="8"/>
        <v>0</v>
      </c>
      <c r="E97" s="111">
        <f t="shared" ca="1" si="9"/>
        <v>0</v>
      </c>
      <c r="F97" s="111">
        <f t="shared" ca="1" si="5"/>
        <v>0</v>
      </c>
      <c r="G97" s="112">
        <f ca="1">IF(ROUND(SUM(B97:C97,-F97),0)=0,0,IF($B$6="Yes",SUM($C$9:C97),SUM(B97:C97,-F97)))</f>
        <v>0</v>
      </c>
    </row>
    <row r="98" spans="1:7" ht="16.149999999999999" customHeight="1" x14ac:dyDescent="0.25">
      <c r="A98" s="109">
        <f t="shared" ca="1" si="6"/>
        <v>48548</v>
      </c>
      <c r="B98" s="110">
        <f t="shared" ca="1" si="7"/>
        <v>0</v>
      </c>
      <c r="C98" s="115">
        <v>0</v>
      </c>
      <c r="D98" s="111">
        <f t="shared" ca="1" si="8"/>
        <v>0</v>
      </c>
      <c r="E98" s="111">
        <f t="shared" ca="1" si="9"/>
        <v>0</v>
      </c>
      <c r="F98" s="111">
        <f t="shared" ca="1" si="5"/>
        <v>0</v>
      </c>
      <c r="G98" s="112">
        <f ca="1">IF(ROUND(SUM(B98:C98,-F98),0)=0,0,IF($B$6="Yes",SUM($C$9:C98),SUM(B98:C98,-F98)))</f>
        <v>0</v>
      </c>
    </row>
    <row r="99" spans="1:7" ht="16.149999999999999" customHeight="1" x14ac:dyDescent="0.25">
      <c r="A99" s="109">
        <f t="shared" ca="1" si="6"/>
        <v>48579</v>
      </c>
      <c r="B99" s="110">
        <f t="shared" ca="1" si="7"/>
        <v>0</v>
      </c>
      <c r="C99" s="115">
        <v>0</v>
      </c>
      <c r="D99" s="111">
        <f t="shared" ca="1" si="8"/>
        <v>0</v>
      </c>
      <c r="E99" s="111">
        <f t="shared" ca="1" si="9"/>
        <v>0</v>
      </c>
      <c r="F99" s="111">
        <f t="shared" ca="1" si="5"/>
        <v>0</v>
      </c>
      <c r="G99" s="112">
        <f ca="1">IF(ROUND(SUM(B99:C99,-F99),0)=0,0,IF($B$6="Yes",SUM($C$9:C99),SUM(B99:C99,-F99)))</f>
        <v>0</v>
      </c>
    </row>
    <row r="100" spans="1:7" ht="16.149999999999999" customHeight="1" x14ac:dyDescent="0.25">
      <c r="A100" s="109">
        <f t="shared" ca="1" si="6"/>
        <v>48610</v>
      </c>
      <c r="B100" s="110">
        <f t="shared" ca="1" si="7"/>
        <v>0</v>
      </c>
      <c r="C100" s="115">
        <v>0</v>
      </c>
      <c r="D100" s="111">
        <f t="shared" ca="1" si="8"/>
        <v>0</v>
      </c>
      <c r="E100" s="111">
        <f t="shared" ca="1" si="9"/>
        <v>0</v>
      </c>
      <c r="F100" s="111">
        <f t="shared" ca="1" si="5"/>
        <v>0</v>
      </c>
      <c r="G100" s="112">
        <f ca="1">IF(ROUND(SUM(B100:C100,-F100),0)=0,0,IF($B$6="Yes",SUM($C$9:C100),SUM(B100:C100,-F100)))</f>
        <v>0</v>
      </c>
    </row>
    <row r="101" spans="1:7" ht="16.149999999999999" customHeight="1" x14ac:dyDescent="0.25">
      <c r="A101" s="109">
        <f t="shared" ca="1" si="6"/>
        <v>48638</v>
      </c>
      <c r="B101" s="110">
        <f t="shared" ca="1" si="7"/>
        <v>0</v>
      </c>
      <c r="C101" s="115">
        <v>0</v>
      </c>
      <c r="D101" s="111">
        <f t="shared" ca="1" si="8"/>
        <v>0</v>
      </c>
      <c r="E101" s="111">
        <f t="shared" ca="1" si="9"/>
        <v>0</v>
      </c>
      <c r="F101" s="111">
        <f t="shared" ca="1" si="5"/>
        <v>0</v>
      </c>
      <c r="G101" s="112">
        <f ca="1">IF(ROUND(SUM(B101:C101,-F101),0)=0,0,IF($B$6="Yes",SUM($C$9:C101),SUM(B101:C101,-F101)))</f>
        <v>0</v>
      </c>
    </row>
    <row r="102" spans="1:7" ht="16.149999999999999" customHeight="1" x14ac:dyDescent="0.25">
      <c r="A102" s="109">
        <f t="shared" ca="1" si="6"/>
        <v>48669</v>
      </c>
      <c r="B102" s="110">
        <f t="shared" ca="1" si="7"/>
        <v>0</v>
      </c>
      <c r="C102" s="115">
        <v>0</v>
      </c>
      <c r="D102" s="111">
        <f t="shared" ca="1" si="8"/>
        <v>0</v>
      </c>
      <c r="E102" s="111">
        <f t="shared" ca="1" si="9"/>
        <v>0</v>
      </c>
      <c r="F102" s="111">
        <f t="shared" ca="1" si="5"/>
        <v>0</v>
      </c>
      <c r="G102" s="112">
        <f ca="1">IF(ROUND(SUM(B102:C102,-F102),0)=0,0,IF($B$6="Yes",SUM($C$9:C102),SUM(B102:C102,-F102)))</f>
        <v>0</v>
      </c>
    </row>
    <row r="103" spans="1:7" ht="16.149999999999999" customHeight="1" x14ac:dyDescent="0.25">
      <c r="A103" s="109">
        <f t="shared" ca="1" si="6"/>
        <v>48699</v>
      </c>
      <c r="B103" s="110">
        <f t="shared" ca="1" si="7"/>
        <v>0</v>
      </c>
      <c r="C103" s="115">
        <v>0</v>
      </c>
      <c r="D103" s="111">
        <f t="shared" ca="1" si="8"/>
        <v>0</v>
      </c>
      <c r="E103" s="111">
        <f t="shared" ca="1" si="9"/>
        <v>0</v>
      </c>
      <c r="F103" s="111">
        <f t="shared" ca="1" si="5"/>
        <v>0</v>
      </c>
      <c r="G103" s="112">
        <f ca="1">IF(ROUND(SUM(B103:C103,-F103),0)=0,0,IF($B$6="Yes",SUM($C$9:C103),SUM(B103:C103,-F103)))</f>
        <v>0</v>
      </c>
    </row>
    <row r="104" spans="1:7" ht="16.149999999999999" customHeight="1" x14ac:dyDescent="0.25">
      <c r="A104" s="109">
        <f t="shared" ca="1" si="6"/>
        <v>48730</v>
      </c>
      <c r="B104" s="110">
        <f t="shared" ca="1" si="7"/>
        <v>0</v>
      </c>
      <c r="C104" s="115">
        <v>0</v>
      </c>
      <c r="D104" s="111">
        <f t="shared" ca="1" si="8"/>
        <v>0</v>
      </c>
      <c r="E104" s="111">
        <f t="shared" ca="1" si="9"/>
        <v>0</v>
      </c>
      <c r="F104" s="111">
        <f t="shared" ca="1" si="5"/>
        <v>0</v>
      </c>
      <c r="G104" s="112">
        <f ca="1">IF(ROUND(SUM(B104:C104,-F104),0)=0,0,IF($B$6="Yes",SUM($C$9:C104),SUM(B104:C104,-F104)))</f>
        <v>0</v>
      </c>
    </row>
    <row r="105" spans="1:7" ht="16.149999999999999" customHeight="1" x14ac:dyDescent="0.25">
      <c r="A105" s="109">
        <f t="shared" ca="1" si="6"/>
        <v>48760</v>
      </c>
      <c r="B105" s="110">
        <f t="shared" ca="1" si="7"/>
        <v>0</v>
      </c>
      <c r="C105" s="115">
        <v>0</v>
      </c>
      <c r="D105" s="111">
        <f t="shared" ca="1" si="8"/>
        <v>0</v>
      </c>
      <c r="E105" s="111">
        <f t="shared" ca="1" si="9"/>
        <v>0</v>
      </c>
      <c r="F105" s="111">
        <f t="shared" ca="1" si="5"/>
        <v>0</v>
      </c>
      <c r="G105" s="112">
        <f ca="1">IF(ROUND(SUM(B105:C105,-F105),0)=0,0,IF($B$6="Yes",SUM($C$9:C105),SUM(B105:C105,-F105)))</f>
        <v>0</v>
      </c>
    </row>
    <row r="106" spans="1:7" ht="16.149999999999999" customHeight="1" x14ac:dyDescent="0.25">
      <c r="A106" s="109">
        <f t="shared" ca="1" si="6"/>
        <v>48791</v>
      </c>
      <c r="B106" s="110">
        <f t="shared" ca="1" si="7"/>
        <v>0</v>
      </c>
      <c r="C106" s="115">
        <v>0</v>
      </c>
      <c r="D106" s="111">
        <f t="shared" ca="1" si="8"/>
        <v>0</v>
      </c>
      <c r="E106" s="111">
        <f t="shared" ca="1" si="9"/>
        <v>0</v>
      </c>
      <c r="F106" s="111">
        <f t="shared" ca="1" si="5"/>
        <v>0</v>
      </c>
      <c r="G106" s="112">
        <f ca="1">IF(ROUND(SUM(B106:C106,-F106),0)=0,0,IF($B$6="Yes",SUM($C$9:C106),SUM(B106:C106,-F106)))</f>
        <v>0</v>
      </c>
    </row>
    <row r="107" spans="1:7" ht="16.149999999999999" customHeight="1" x14ac:dyDescent="0.25">
      <c r="A107" s="109">
        <f t="shared" ca="1" si="6"/>
        <v>48822</v>
      </c>
      <c r="B107" s="110">
        <f t="shared" ca="1" si="7"/>
        <v>0</v>
      </c>
      <c r="C107" s="115">
        <v>0</v>
      </c>
      <c r="D107" s="111">
        <f t="shared" ca="1" si="8"/>
        <v>0</v>
      </c>
      <c r="E107" s="111">
        <f t="shared" ca="1" si="9"/>
        <v>0</v>
      </c>
      <c r="F107" s="111">
        <f t="shared" ca="1" si="5"/>
        <v>0</v>
      </c>
      <c r="G107" s="112">
        <f ca="1">IF(ROUND(SUM(B107:C107,-F107),0)=0,0,IF($B$6="Yes",SUM($C$9:C107),SUM(B107:C107,-F107)))</f>
        <v>0</v>
      </c>
    </row>
    <row r="108" spans="1:7" ht="16.149999999999999" customHeight="1" x14ac:dyDescent="0.25">
      <c r="A108" s="109">
        <f t="shared" ca="1" si="6"/>
        <v>48852</v>
      </c>
      <c r="B108" s="110">
        <f t="shared" ca="1" si="7"/>
        <v>0</v>
      </c>
      <c r="C108" s="115">
        <v>0</v>
      </c>
      <c r="D108" s="111">
        <f t="shared" ca="1" si="8"/>
        <v>0</v>
      </c>
      <c r="E108" s="111">
        <f t="shared" ca="1" si="9"/>
        <v>0</v>
      </c>
      <c r="F108" s="111">
        <f t="shared" ca="1" si="5"/>
        <v>0</v>
      </c>
      <c r="G108" s="112">
        <f ca="1">IF(ROUND(SUM(B108:C108,-F108),0)=0,0,IF($B$6="Yes",SUM($C$9:C108),SUM(B108:C108,-F108)))</f>
        <v>0</v>
      </c>
    </row>
    <row r="109" spans="1:7" ht="16.149999999999999" customHeight="1" x14ac:dyDescent="0.25">
      <c r="A109" s="109">
        <f t="shared" ca="1" si="6"/>
        <v>48883</v>
      </c>
      <c r="B109" s="110">
        <f t="shared" ca="1" si="7"/>
        <v>0</v>
      </c>
      <c r="C109" s="115">
        <v>0</v>
      </c>
      <c r="D109" s="111">
        <f t="shared" ca="1" si="8"/>
        <v>0</v>
      </c>
      <c r="E109" s="111">
        <f t="shared" ca="1" si="9"/>
        <v>0</v>
      </c>
      <c r="F109" s="111">
        <f t="shared" ca="1" si="5"/>
        <v>0</v>
      </c>
      <c r="G109" s="112">
        <f ca="1">IF(ROUND(SUM(B109:C109,-F109),0)=0,0,IF($B$6="Yes",SUM($C$9:C109),SUM(B109:C109,-F109)))</f>
        <v>0</v>
      </c>
    </row>
    <row r="110" spans="1:7" ht="16.149999999999999" customHeight="1" x14ac:dyDescent="0.25">
      <c r="A110" s="109">
        <f t="shared" ca="1" si="6"/>
        <v>48913</v>
      </c>
      <c r="B110" s="110">
        <f t="shared" ca="1" si="7"/>
        <v>0</v>
      </c>
      <c r="C110" s="115">
        <v>0</v>
      </c>
      <c r="D110" s="111">
        <f t="shared" ca="1" si="8"/>
        <v>0</v>
      </c>
      <c r="E110" s="111">
        <f t="shared" ca="1" si="9"/>
        <v>0</v>
      </c>
      <c r="F110" s="111">
        <f t="shared" ca="1" si="5"/>
        <v>0</v>
      </c>
      <c r="G110" s="112">
        <f ca="1">IF(ROUND(SUM(B110:C110,-F110),0)=0,0,IF($B$6="Yes",SUM($C$9:C110),SUM(B110:C110,-F110)))</f>
        <v>0</v>
      </c>
    </row>
    <row r="111" spans="1:7" ht="16.149999999999999" customHeight="1" x14ac:dyDescent="0.25">
      <c r="A111" s="109">
        <f t="shared" ca="1" si="6"/>
        <v>48944</v>
      </c>
      <c r="B111" s="110">
        <f t="shared" ca="1" si="7"/>
        <v>0</v>
      </c>
      <c r="C111" s="115">
        <v>0</v>
      </c>
      <c r="D111" s="111">
        <f t="shared" ca="1" si="8"/>
        <v>0</v>
      </c>
      <c r="E111" s="111">
        <f t="shared" ca="1" si="9"/>
        <v>0</v>
      </c>
      <c r="F111" s="111">
        <f t="shared" ca="1" si="5"/>
        <v>0</v>
      </c>
      <c r="G111" s="112">
        <f ca="1">IF(ROUND(SUM(B111:C111,-F111),0)=0,0,IF($B$6="Yes",SUM($C$9:C111),SUM(B111:C111,-F111)))</f>
        <v>0</v>
      </c>
    </row>
    <row r="112" spans="1:7" ht="16.149999999999999" customHeight="1" x14ac:dyDescent="0.25">
      <c r="A112" s="109">
        <f t="shared" ca="1" si="6"/>
        <v>48975</v>
      </c>
      <c r="B112" s="110">
        <f t="shared" ca="1" si="7"/>
        <v>0</v>
      </c>
      <c r="C112" s="115">
        <v>0</v>
      </c>
      <c r="D112" s="111">
        <f t="shared" ca="1" si="8"/>
        <v>0</v>
      </c>
      <c r="E112" s="111">
        <f t="shared" ca="1" si="9"/>
        <v>0</v>
      </c>
      <c r="F112" s="111">
        <f t="shared" ca="1" si="5"/>
        <v>0</v>
      </c>
      <c r="G112" s="112">
        <f ca="1">IF(ROUND(SUM(B112:C112,-F112),0)=0,0,IF($B$6="Yes",SUM($C$9:C112),SUM(B112:C112,-F112)))</f>
        <v>0</v>
      </c>
    </row>
    <row r="113" spans="1:7" ht="16.149999999999999" customHeight="1" x14ac:dyDescent="0.25">
      <c r="A113" s="109">
        <f t="shared" ca="1" si="6"/>
        <v>49003</v>
      </c>
      <c r="B113" s="110">
        <f t="shared" ca="1" si="7"/>
        <v>0</v>
      </c>
      <c r="C113" s="115">
        <v>0</v>
      </c>
      <c r="D113" s="111">
        <f t="shared" ca="1" si="8"/>
        <v>0</v>
      </c>
      <c r="E113" s="111">
        <f t="shared" ca="1" si="9"/>
        <v>0</v>
      </c>
      <c r="F113" s="111">
        <f t="shared" ca="1" si="5"/>
        <v>0</v>
      </c>
      <c r="G113" s="112">
        <f ca="1">IF(ROUND(SUM(B113:C113,-F113),0)=0,0,IF($B$6="Yes",SUM($C$9:C113),SUM(B113:C113,-F113)))</f>
        <v>0</v>
      </c>
    </row>
    <row r="114" spans="1:7" ht="16.149999999999999" customHeight="1" x14ac:dyDescent="0.25">
      <c r="A114" s="109">
        <f t="shared" ca="1" si="6"/>
        <v>49034</v>
      </c>
      <c r="B114" s="110">
        <f t="shared" ca="1" si="7"/>
        <v>0</v>
      </c>
      <c r="C114" s="115">
        <v>0</v>
      </c>
      <c r="D114" s="111">
        <f t="shared" ca="1" si="8"/>
        <v>0</v>
      </c>
      <c r="E114" s="111">
        <f t="shared" ca="1" si="9"/>
        <v>0</v>
      </c>
      <c r="F114" s="111">
        <f t="shared" ca="1" si="5"/>
        <v>0</v>
      </c>
      <c r="G114" s="112">
        <f ca="1">IF(ROUND(SUM(B114:C114,-F114),0)=0,0,IF($B$6="Yes",SUM($C$9:C114),SUM(B114:C114,-F114)))</f>
        <v>0</v>
      </c>
    </row>
    <row r="115" spans="1:7" ht="16.149999999999999" customHeight="1" x14ac:dyDescent="0.25">
      <c r="A115" s="109">
        <f t="shared" ca="1" si="6"/>
        <v>49064</v>
      </c>
      <c r="B115" s="110">
        <f t="shared" ca="1" si="7"/>
        <v>0</v>
      </c>
      <c r="C115" s="115">
        <v>0</v>
      </c>
      <c r="D115" s="111">
        <f t="shared" ca="1" si="8"/>
        <v>0</v>
      </c>
      <c r="E115" s="111">
        <f t="shared" ca="1" si="9"/>
        <v>0</v>
      </c>
      <c r="F115" s="111">
        <f t="shared" ca="1" si="5"/>
        <v>0</v>
      </c>
      <c r="G115" s="112">
        <f ca="1">IF(ROUND(SUM(B115:C115,-F115),0)=0,0,IF($B$6="Yes",SUM($C$9:C115),SUM(B115:C115,-F115)))</f>
        <v>0</v>
      </c>
    </row>
    <row r="116" spans="1:7" ht="16.149999999999999" customHeight="1" x14ac:dyDescent="0.25">
      <c r="A116" s="109">
        <f t="shared" ca="1" si="6"/>
        <v>49095</v>
      </c>
      <c r="B116" s="110">
        <f t="shared" ca="1" si="7"/>
        <v>0</v>
      </c>
      <c r="C116" s="115">
        <v>0</v>
      </c>
      <c r="D116" s="111">
        <f t="shared" ca="1" si="8"/>
        <v>0</v>
      </c>
      <c r="E116" s="111">
        <f t="shared" ca="1" si="9"/>
        <v>0</v>
      </c>
      <c r="F116" s="111">
        <f t="shared" ca="1" si="5"/>
        <v>0</v>
      </c>
      <c r="G116" s="112">
        <f ca="1">IF(ROUND(SUM(B116:C116,-F116),0)=0,0,IF($B$6="Yes",SUM($C$9:C116),SUM(B116:C116,-F116)))</f>
        <v>0</v>
      </c>
    </row>
    <row r="117" spans="1:7" ht="16.149999999999999" customHeight="1" x14ac:dyDescent="0.25">
      <c r="A117" s="109">
        <f t="shared" ca="1" si="6"/>
        <v>49125</v>
      </c>
      <c r="B117" s="110">
        <f t="shared" ca="1" si="7"/>
        <v>0</v>
      </c>
      <c r="C117" s="115">
        <v>0</v>
      </c>
      <c r="D117" s="111">
        <f t="shared" ca="1" si="8"/>
        <v>0</v>
      </c>
      <c r="E117" s="111">
        <f t="shared" ca="1" si="9"/>
        <v>0</v>
      </c>
      <c r="F117" s="111">
        <f t="shared" ca="1" si="5"/>
        <v>0</v>
      </c>
      <c r="G117" s="112">
        <f ca="1">IF(ROUND(SUM(B117:C117,-F117),0)=0,0,IF($B$6="Yes",SUM($C$9:C117),SUM(B117:C117,-F117)))</f>
        <v>0</v>
      </c>
    </row>
    <row r="118" spans="1:7" ht="16.149999999999999" customHeight="1" x14ac:dyDescent="0.25">
      <c r="A118" s="109">
        <f t="shared" ca="1" si="6"/>
        <v>49156</v>
      </c>
      <c r="B118" s="110">
        <f t="shared" ca="1" si="7"/>
        <v>0</v>
      </c>
      <c r="C118" s="115">
        <v>0</v>
      </c>
      <c r="D118" s="111">
        <f t="shared" ca="1" si="8"/>
        <v>0</v>
      </c>
      <c r="E118" s="111">
        <f t="shared" ca="1" si="9"/>
        <v>0</v>
      </c>
      <c r="F118" s="111">
        <f t="shared" ca="1" si="5"/>
        <v>0</v>
      </c>
      <c r="G118" s="112">
        <f ca="1">IF(ROUND(SUM(B118:C118,-F118),0)=0,0,IF($B$6="Yes",SUM($C$9:C118),SUM(B118:C118,-F118)))</f>
        <v>0</v>
      </c>
    </row>
    <row r="119" spans="1:7" ht="16.149999999999999" customHeight="1" x14ac:dyDescent="0.25">
      <c r="A119" s="109">
        <f t="shared" ca="1" si="6"/>
        <v>49187</v>
      </c>
      <c r="B119" s="110">
        <f t="shared" ca="1" si="7"/>
        <v>0</v>
      </c>
      <c r="C119" s="115">
        <v>0</v>
      </c>
      <c r="D119" s="111">
        <f t="shared" ca="1" si="8"/>
        <v>0</v>
      </c>
      <c r="E119" s="111">
        <f t="shared" ca="1" si="9"/>
        <v>0</v>
      </c>
      <c r="F119" s="111">
        <f t="shared" ca="1" si="5"/>
        <v>0</v>
      </c>
      <c r="G119" s="112">
        <f ca="1">IF(ROUND(SUM(B119:C119,-F119),0)=0,0,IF($B$6="Yes",SUM($C$9:C119),SUM(B119:C119,-F119)))</f>
        <v>0</v>
      </c>
    </row>
    <row r="120" spans="1:7" ht="16.149999999999999" customHeight="1" x14ac:dyDescent="0.25">
      <c r="A120" s="109">
        <f t="shared" ca="1" si="6"/>
        <v>49217</v>
      </c>
      <c r="B120" s="110">
        <f t="shared" ca="1" si="7"/>
        <v>0</v>
      </c>
      <c r="C120" s="115">
        <v>0</v>
      </c>
      <c r="D120" s="111">
        <f t="shared" ca="1" si="8"/>
        <v>0</v>
      </c>
      <c r="E120" s="111">
        <f t="shared" ca="1" si="9"/>
        <v>0</v>
      </c>
      <c r="F120" s="111">
        <f t="shared" ca="1" si="5"/>
        <v>0</v>
      </c>
      <c r="G120" s="112">
        <f ca="1">IF(ROUND(SUM(B120:C120,-F120),0)=0,0,IF($B$6="Yes",SUM($C$9:C120),SUM(B120:C120,-F120)))</f>
        <v>0</v>
      </c>
    </row>
    <row r="121" spans="1:7" ht="16.149999999999999" customHeight="1" x14ac:dyDescent="0.25">
      <c r="A121" s="109">
        <f t="shared" ca="1" si="6"/>
        <v>49248</v>
      </c>
      <c r="B121" s="110">
        <f t="shared" ca="1" si="7"/>
        <v>0</v>
      </c>
      <c r="C121" s="115">
        <v>0</v>
      </c>
      <c r="D121" s="111">
        <f t="shared" ca="1" si="8"/>
        <v>0</v>
      </c>
      <c r="E121" s="111">
        <f t="shared" ca="1" si="9"/>
        <v>0</v>
      </c>
      <c r="F121" s="111">
        <f t="shared" ca="1" si="5"/>
        <v>0</v>
      </c>
      <c r="G121" s="112">
        <f ca="1">IF(ROUND(SUM(B121:C121,-F121),0)=0,0,IF($B$6="Yes",SUM($C$9:C121),SUM(B121:C121,-F121)))</f>
        <v>0</v>
      </c>
    </row>
    <row r="122" spans="1:7" ht="16.149999999999999" customHeight="1" x14ac:dyDescent="0.25">
      <c r="A122" s="109">
        <f t="shared" ca="1" si="6"/>
        <v>49278</v>
      </c>
      <c r="B122" s="110">
        <f t="shared" ca="1" si="7"/>
        <v>0</v>
      </c>
      <c r="C122" s="115">
        <v>0</v>
      </c>
      <c r="D122" s="111">
        <f t="shared" ca="1" si="8"/>
        <v>0</v>
      </c>
      <c r="E122" s="111">
        <f t="shared" ca="1" si="9"/>
        <v>0</v>
      </c>
      <c r="F122" s="111">
        <f t="shared" ca="1" si="5"/>
        <v>0</v>
      </c>
      <c r="G122" s="112">
        <f ca="1">IF(ROUND(SUM(B122:C122,-F122),0)=0,0,IF($B$6="Yes",SUM($C$9:C122),SUM(B122:C122,-F122)))</f>
        <v>0</v>
      </c>
    </row>
    <row r="123" spans="1:7" ht="16.149999999999999" customHeight="1" x14ac:dyDescent="0.25">
      <c r="A123" s="109">
        <f t="shared" ca="1" si="6"/>
        <v>49309</v>
      </c>
      <c r="B123" s="110">
        <f t="shared" ca="1" si="7"/>
        <v>0</v>
      </c>
      <c r="C123" s="115">
        <v>0</v>
      </c>
      <c r="D123" s="111">
        <f t="shared" ca="1" si="8"/>
        <v>0</v>
      </c>
      <c r="E123" s="111">
        <f t="shared" ca="1" si="9"/>
        <v>0</v>
      </c>
      <c r="F123" s="111">
        <f t="shared" ca="1" si="5"/>
        <v>0</v>
      </c>
      <c r="G123" s="112">
        <f ca="1">IF(ROUND(SUM(B123:C123,-F123),0)=0,0,IF($B$6="Yes",SUM($C$9:C123),SUM(B123:C123,-F123)))</f>
        <v>0</v>
      </c>
    </row>
    <row r="124" spans="1:7" ht="16.149999999999999" customHeight="1" x14ac:dyDescent="0.25">
      <c r="A124" s="109">
        <f t="shared" ca="1" si="6"/>
        <v>49340</v>
      </c>
      <c r="B124" s="110">
        <f t="shared" ca="1" si="7"/>
        <v>0</v>
      </c>
      <c r="C124" s="115">
        <v>0</v>
      </c>
      <c r="D124" s="111">
        <f t="shared" ca="1" si="8"/>
        <v>0</v>
      </c>
      <c r="E124" s="111">
        <f t="shared" ca="1" si="9"/>
        <v>0</v>
      </c>
      <c r="F124" s="111">
        <f t="shared" ca="1" si="5"/>
        <v>0</v>
      </c>
      <c r="G124" s="112">
        <f ca="1">IF(ROUND(SUM(B124:C124,-F124),0)=0,0,IF($B$6="Yes",SUM($C$9:C124),SUM(B124:C124,-F124)))</f>
        <v>0</v>
      </c>
    </row>
    <row r="125" spans="1:7" ht="16.149999999999999" customHeight="1" x14ac:dyDescent="0.25">
      <c r="A125" s="109">
        <f t="shared" ca="1" si="6"/>
        <v>49368</v>
      </c>
      <c r="B125" s="110">
        <f t="shared" ca="1" si="7"/>
        <v>0</v>
      </c>
      <c r="C125" s="115">
        <v>0</v>
      </c>
      <c r="D125" s="111">
        <f t="shared" ca="1" si="8"/>
        <v>0</v>
      </c>
      <c r="E125" s="111">
        <f t="shared" ca="1" si="9"/>
        <v>0</v>
      </c>
      <c r="F125" s="111">
        <f t="shared" ca="1" si="5"/>
        <v>0</v>
      </c>
      <c r="G125" s="112">
        <f ca="1">IF(ROUND(SUM(B125:C125,-F125),0)=0,0,IF($B$6="Yes",SUM($C$9:C125),SUM(B125:C125,-F125)))</f>
        <v>0</v>
      </c>
    </row>
    <row r="126" spans="1:7" ht="16.149999999999999" customHeight="1" x14ac:dyDescent="0.25">
      <c r="A126" s="109">
        <f ca="1">DATE(YEAR(A125),MONTH(A125)+2,0)</f>
        <v>49399</v>
      </c>
      <c r="B126" s="110">
        <f t="shared" ca="1" si="7"/>
        <v>0</v>
      </c>
      <c r="C126" s="115">
        <v>0</v>
      </c>
      <c r="D126" s="111">
        <f t="shared" ca="1" si="8"/>
        <v>0</v>
      </c>
      <c r="E126" s="111">
        <f t="shared" ca="1" si="9"/>
        <v>0</v>
      </c>
      <c r="F126" s="111">
        <f t="shared" ca="1" si="5"/>
        <v>0</v>
      </c>
      <c r="G126" s="112">
        <f ca="1">IF(ROUND(SUM(B126:C126,-F126),0)=0,0,IF($B$6="Yes",SUM($C$9:C126),SUM(B126:C126,-F126)))</f>
        <v>0</v>
      </c>
    </row>
    <row r="127" spans="1:7" ht="16.149999999999999" customHeight="1" x14ac:dyDescent="0.25">
      <c r="A127" s="109">
        <f ca="1">DATE(YEAR(A126),MONTH(A126)+2,0)</f>
        <v>49429</v>
      </c>
      <c r="B127" s="110">
        <f t="shared" ca="1" si="7"/>
        <v>0</v>
      </c>
      <c r="C127" s="115">
        <v>0</v>
      </c>
      <c r="D127" s="111">
        <f t="shared" ca="1" si="8"/>
        <v>0</v>
      </c>
      <c r="E127" s="111">
        <f t="shared" ca="1" si="9"/>
        <v>0</v>
      </c>
      <c r="F127" s="111">
        <f t="shared" ca="1" si="5"/>
        <v>0</v>
      </c>
      <c r="G127" s="112">
        <f ca="1">IF(ROUND(SUM(B127:C127,-F127),0)=0,0,IF($B$6="Yes",SUM($C$9:C127),SUM(B127:C127,-F127)))</f>
        <v>0</v>
      </c>
    </row>
    <row r="128" spans="1:7" ht="16.149999999999999" customHeight="1" x14ac:dyDescent="0.25">
      <c r="A128" s="109">
        <f ca="1">DATE(YEAR(A127),MONTH(A127)+2,0)</f>
        <v>49460</v>
      </c>
      <c r="B128" s="110">
        <f t="shared" ca="1" si="7"/>
        <v>0</v>
      </c>
      <c r="C128" s="115">
        <v>0</v>
      </c>
      <c r="D128" s="111">
        <f t="shared" ca="1" si="8"/>
        <v>0</v>
      </c>
      <c r="E128" s="111">
        <f t="shared" ca="1" si="9"/>
        <v>0</v>
      </c>
      <c r="F128" s="111">
        <f t="shared" ca="1" si="5"/>
        <v>0</v>
      </c>
      <c r="G128" s="112">
        <f ca="1">IF(ROUND(SUM(B128:C128,-F128),0)=0,0,IF($B$6="Yes",SUM($C$9:C128),SUM(B128:C128,-F128)))</f>
        <v>0</v>
      </c>
    </row>
    <row r="129" spans="1:7" ht="16.149999999999999" customHeight="1" x14ac:dyDescent="0.25">
      <c r="A129" s="109">
        <f t="shared" ref="A129:A165" ca="1" si="10">DATE(YEAR(A128),MONTH(A128)+2,0)</f>
        <v>49490</v>
      </c>
      <c r="B129" s="110">
        <f t="shared" ca="1" si="7"/>
        <v>0</v>
      </c>
      <c r="C129" s="115">
        <v>0</v>
      </c>
      <c r="D129" s="111">
        <f t="shared" ca="1" si="8"/>
        <v>0</v>
      </c>
      <c r="E129" s="111">
        <f t="shared" ca="1" si="9"/>
        <v>0</v>
      </c>
      <c r="F129" s="111">
        <f t="shared" ca="1" si="5"/>
        <v>0</v>
      </c>
      <c r="G129" s="112">
        <f ca="1">IF(ROUND(SUM(B129:C129,-F129),0)=0,0,IF($B$6="Yes",SUM($C$9:C129),SUM(B129:C129,-F129)))</f>
        <v>0</v>
      </c>
    </row>
    <row r="130" spans="1:7" ht="16.149999999999999" customHeight="1" x14ac:dyDescent="0.25">
      <c r="A130" s="109">
        <f t="shared" ca="1" si="10"/>
        <v>49521</v>
      </c>
      <c r="B130" s="110">
        <f t="shared" ca="1" si="7"/>
        <v>0</v>
      </c>
      <c r="C130" s="115">
        <v>0</v>
      </c>
      <c r="D130" s="111">
        <f t="shared" ca="1" si="8"/>
        <v>0</v>
      </c>
      <c r="E130" s="111">
        <f t="shared" ca="1" si="9"/>
        <v>0</v>
      </c>
      <c r="F130" s="111">
        <f t="shared" ca="1" si="5"/>
        <v>0</v>
      </c>
      <c r="G130" s="112">
        <f ca="1">IF(ROUND(SUM(B130:C130,-F130),0)=0,0,IF($B$6="Yes",SUM($C$9:C130),SUM(B130:C130,-F130)))</f>
        <v>0</v>
      </c>
    </row>
    <row r="131" spans="1:7" ht="16.149999999999999" customHeight="1" x14ac:dyDescent="0.25">
      <c r="A131" s="109">
        <f t="shared" ca="1" si="10"/>
        <v>49552</v>
      </c>
      <c r="B131" s="110">
        <f t="shared" ca="1" si="7"/>
        <v>0</v>
      </c>
      <c r="C131" s="115">
        <v>0</v>
      </c>
      <c r="D131" s="111">
        <f t="shared" ca="1" si="8"/>
        <v>0</v>
      </c>
      <c r="E131" s="111">
        <f t="shared" ca="1" si="9"/>
        <v>0</v>
      </c>
      <c r="F131" s="111">
        <f t="shared" ca="1" si="5"/>
        <v>0</v>
      </c>
      <c r="G131" s="112">
        <f ca="1">IF(ROUND(SUM(B131:C131,-F131),0)=0,0,IF($B$6="Yes",SUM($C$9:C131),SUM(B131:C131,-F131)))</f>
        <v>0</v>
      </c>
    </row>
    <row r="132" spans="1:7" ht="16.149999999999999" customHeight="1" x14ac:dyDescent="0.25">
      <c r="A132" s="109">
        <f t="shared" ca="1" si="10"/>
        <v>49582</v>
      </c>
      <c r="B132" s="110">
        <f t="shared" ca="1" si="7"/>
        <v>0</v>
      </c>
      <c r="C132" s="115">
        <v>0</v>
      </c>
      <c r="D132" s="111">
        <f t="shared" ca="1" si="8"/>
        <v>0</v>
      </c>
      <c r="E132" s="111">
        <f t="shared" ca="1" si="9"/>
        <v>0</v>
      </c>
      <c r="F132" s="111">
        <f t="shared" ca="1" si="5"/>
        <v>0</v>
      </c>
      <c r="G132" s="112">
        <f ca="1">IF(ROUND(SUM(B132:C132,-F132),0)=0,0,IF($B$6="Yes",SUM($C$9:C132),SUM(B132:C132,-F132)))</f>
        <v>0</v>
      </c>
    </row>
    <row r="133" spans="1:7" ht="16.149999999999999" customHeight="1" x14ac:dyDescent="0.25">
      <c r="A133" s="109">
        <f t="shared" ca="1" si="10"/>
        <v>49613</v>
      </c>
      <c r="B133" s="110">
        <f t="shared" ca="1" si="7"/>
        <v>0</v>
      </c>
      <c r="C133" s="115">
        <v>0</v>
      </c>
      <c r="D133" s="111">
        <f t="shared" ca="1" si="8"/>
        <v>0</v>
      </c>
      <c r="E133" s="111">
        <f t="shared" ca="1" si="9"/>
        <v>0</v>
      </c>
      <c r="F133" s="111">
        <f t="shared" ca="1" si="5"/>
        <v>0</v>
      </c>
      <c r="G133" s="112">
        <f ca="1">IF(ROUND(SUM(B133:C133,-F133),0)=0,0,IF($B$6="Yes",SUM($C$9:C133),SUM(B133:C133,-F133)))</f>
        <v>0</v>
      </c>
    </row>
    <row r="134" spans="1:7" ht="16.149999999999999" customHeight="1" x14ac:dyDescent="0.25">
      <c r="A134" s="109">
        <f t="shared" ca="1" si="10"/>
        <v>49643</v>
      </c>
      <c r="B134" s="110">
        <f t="shared" ca="1" si="7"/>
        <v>0</v>
      </c>
      <c r="C134" s="115">
        <v>0</v>
      </c>
      <c r="D134" s="111">
        <f t="shared" ca="1" si="8"/>
        <v>0</v>
      </c>
      <c r="E134" s="111">
        <f t="shared" ca="1" si="9"/>
        <v>0</v>
      </c>
      <c r="F134" s="111">
        <f t="shared" ca="1" si="5"/>
        <v>0</v>
      </c>
      <c r="G134" s="112">
        <f ca="1">IF(ROUND(SUM(B134:C134,-F134),0)=0,0,IF($B$6="Yes",SUM($C$9:C134),SUM(B134:C134,-F134)))</f>
        <v>0</v>
      </c>
    </row>
    <row r="135" spans="1:7" ht="16.149999999999999" customHeight="1" x14ac:dyDescent="0.25">
      <c r="A135" s="109">
        <f t="shared" ca="1" si="10"/>
        <v>49674</v>
      </c>
      <c r="B135" s="110">
        <f t="shared" ca="1" si="7"/>
        <v>0</v>
      </c>
      <c r="C135" s="115">
        <v>0</v>
      </c>
      <c r="D135" s="111">
        <f t="shared" ca="1" si="8"/>
        <v>0</v>
      </c>
      <c r="E135" s="111">
        <f t="shared" ca="1" si="9"/>
        <v>0</v>
      </c>
      <c r="F135" s="111">
        <f t="shared" ca="1" si="5"/>
        <v>0</v>
      </c>
      <c r="G135" s="112">
        <f ca="1">IF(ROUND(SUM(B135:C135,-F135),0)=0,0,IF($B$6="Yes",SUM($C$9:C135),SUM(B135:C135,-F135)))</f>
        <v>0</v>
      </c>
    </row>
    <row r="136" spans="1:7" ht="16.149999999999999" customHeight="1" x14ac:dyDescent="0.25">
      <c r="A136" s="109">
        <f t="shared" ca="1" si="10"/>
        <v>49705</v>
      </c>
      <c r="B136" s="110">
        <f t="shared" ca="1" si="7"/>
        <v>0</v>
      </c>
      <c r="C136" s="115">
        <v>0</v>
      </c>
      <c r="D136" s="111">
        <f t="shared" ca="1" si="8"/>
        <v>0</v>
      </c>
      <c r="E136" s="111">
        <f t="shared" ca="1" si="9"/>
        <v>0</v>
      </c>
      <c r="F136" s="111">
        <f t="shared" ca="1" si="5"/>
        <v>0</v>
      </c>
      <c r="G136" s="112">
        <f ca="1">IF(ROUND(SUM(B136:C136,-F136),0)=0,0,IF($B$6="Yes",SUM($C$9:C136),SUM(B136:C136,-F136)))</f>
        <v>0</v>
      </c>
    </row>
    <row r="137" spans="1:7" ht="16.149999999999999" customHeight="1" x14ac:dyDescent="0.25">
      <c r="A137" s="109">
        <f t="shared" ca="1" si="10"/>
        <v>49734</v>
      </c>
      <c r="B137" s="110">
        <f t="shared" ca="1" si="7"/>
        <v>0</v>
      </c>
      <c r="C137" s="115">
        <v>0</v>
      </c>
      <c r="D137" s="111">
        <f t="shared" ca="1" si="8"/>
        <v>0</v>
      </c>
      <c r="E137" s="111">
        <f t="shared" ca="1" si="9"/>
        <v>0</v>
      </c>
      <c r="F137" s="111">
        <f t="shared" ca="1" si="5"/>
        <v>0</v>
      </c>
      <c r="G137" s="112">
        <f ca="1">IF(ROUND(SUM(B137:C137,-F137),0)=0,0,IF($B$6="Yes",SUM($C$9:C137),SUM(B137:C137,-F137)))</f>
        <v>0</v>
      </c>
    </row>
    <row r="138" spans="1:7" ht="16.149999999999999" customHeight="1" x14ac:dyDescent="0.25">
      <c r="A138" s="109">
        <f t="shared" ca="1" si="10"/>
        <v>49765</v>
      </c>
      <c r="B138" s="110">
        <f t="shared" ca="1" si="7"/>
        <v>0</v>
      </c>
      <c r="C138" s="115">
        <v>0</v>
      </c>
      <c r="D138" s="111">
        <f t="shared" ca="1" si="8"/>
        <v>0</v>
      </c>
      <c r="E138" s="111">
        <f t="shared" ca="1" si="9"/>
        <v>0</v>
      </c>
      <c r="F138" s="111">
        <f t="shared" ref="F138:F165" ca="1" si="11">IF($B$6="Yes",0,D138-E138)</f>
        <v>0</v>
      </c>
      <c r="G138" s="112">
        <f ca="1">IF(ROUND(SUM(B138:C138,-F138),0)=0,0,IF($B$6="Yes",SUM($C$9:C138),SUM(B138:C138,-F138)))</f>
        <v>0</v>
      </c>
    </row>
    <row r="139" spans="1:7" ht="16.149999999999999" customHeight="1" x14ac:dyDescent="0.25">
      <c r="A139" s="109">
        <f t="shared" ca="1" si="10"/>
        <v>49795</v>
      </c>
      <c r="B139" s="110">
        <f t="shared" ref="B139:B165" ca="1" si="12">G138</f>
        <v>0</v>
      </c>
      <c r="C139" s="115">
        <v>0</v>
      </c>
      <c r="D139" s="111">
        <f t="shared" ref="D139:D165" ca="1" si="13">IF($B$6="Yes",0,IF(ROW(C139)-ROW($C$9)&gt;$B$5*12,-PMT($B$4/12,$B$5*12,SUM(OFFSET(C139,0,0,-$B$5*12,1)),0,0),-PMT($B$4/12,$B$5*12,SUM(OFFSET(C139,0,0,ROW($C$8)-ROW(C139),1)),0,0)))</f>
        <v>0</v>
      </c>
      <c r="E139" s="111">
        <f t="shared" ref="E139:E165" ca="1" si="14">(G138+C139)*$B$4/12</f>
        <v>0</v>
      </c>
      <c r="F139" s="111">
        <f t="shared" ca="1" si="11"/>
        <v>0</v>
      </c>
      <c r="G139" s="112">
        <f ca="1">IF(ROUND(SUM(B139:C139,-F139),0)=0,0,IF($B$6="Yes",SUM($C$9:C139),SUM(B139:C139,-F139)))</f>
        <v>0</v>
      </c>
    </row>
    <row r="140" spans="1:7" ht="16.149999999999999" customHeight="1" x14ac:dyDescent="0.25">
      <c r="A140" s="109">
        <f t="shared" ca="1" si="10"/>
        <v>49826</v>
      </c>
      <c r="B140" s="110">
        <f t="shared" ca="1" si="12"/>
        <v>0</v>
      </c>
      <c r="C140" s="115">
        <v>0</v>
      </c>
      <c r="D140" s="111">
        <f t="shared" ca="1" si="13"/>
        <v>0</v>
      </c>
      <c r="E140" s="111">
        <f t="shared" ca="1" si="14"/>
        <v>0</v>
      </c>
      <c r="F140" s="111">
        <f t="shared" ca="1" si="11"/>
        <v>0</v>
      </c>
      <c r="G140" s="112">
        <f ca="1">IF(ROUND(SUM(B140:C140,-F140),0)=0,0,IF($B$6="Yes",SUM($C$9:C140),SUM(B140:C140,-F140)))</f>
        <v>0</v>
      </c>
    </row>
    <row r="141" spans="1:7" ht="16.149999999999999" customHeight="1" x14ac:dyDescent="0.25">
      <c r="A141" s="109">
        <f t="shared" ca="1" si="10"/>
        <v>49856</v>
      </c>
      <c r="B141" s="110">
        <f t="shared" ca="1" si="12"/>
        <v>0</v>
      </c>
      <c r="C141" s="115">
        <v>0</v>
      </c>
      <c r="D141" s="111">
        <f t="shared" ca="1" si="13"/>
        <v>0</v>
      </c>
      <c r="E141" s="111">
        <f t="shared" ca="1" si="14"/>
        <v>0</v>
      </c>
      <c r="F141" s="111">
        <f t="shared" ca="1" si="11"/>
        <v>0</v>
      </c>
      <c r="G141" s="112">
        <f ca="1">IF(ROUND(SUM(B141:C141,-F141),0)=0,0,IF($B$6="Yes",SUM($C$9:C141),SUM(B141:C141,-F141)))</f>
        <v>0</v>
      </c>
    </row>
    <row r="142" spans="1:7" ht="16.149999999999999" customHeight="1" x14ac:dyDescent="0.25">
      <c r="A142" s="109">
        <f t="shared" ca="1" si="10"/>
        <v>49887</v>
      </c>
      <c r="B142" s="110">
        <f t="shared" ca="1" si="12"/>
        <v>0</v>
      </c>
      <c r="C142" s="115">
        <v>0</v>
      </c>
      <c r="D142" s="111">
        <f t="shared" ca="1" si="13"/>
        <v>0</v>
      </c>
      <c r="E142" s="111">
        <f t="shared" ca="1" si="14"/>
        <v>0</v>
      </c>
      <c r="F142" s="111">
        <f t="shared" ca="1" si="11"/>
        <v>0</v>
      </c>
      <c r="G142" s="112">
        <f ca="1">IF(ROUND(SUM(B142:C142,-F142),0)=0,0,IF($B$6="Yes",SUM($C$9:C142),SUM(B142:C142,-F142)))</f>
        <v>0</v>
      </c>
    </row>
    <row r="143" spans="1:7" ht="16.149999999999999" customHeight="1" x14ac:dyDescent="0.25">
      <c r="A143" s="109">
        <f t="shared" ca="1" si="10"/>
        <v>49918</v>
      </c>
      <c r="B143" s="110">
        <f t="shared" ca="1" si="12"/>
        <v>0</v>
      </c>
      <c r="C143" s="115">
        <v>0</v>
      </c>
      <c r="D143" s="111">
        <f t="shared" ca="1" si="13"/>
        <v>0</v>
      </c>
      <c r="E143" s="111">
        <f t="shared" ca="1" si="14"/>
        <v>0</v>
      </c>
      <c r="F143" s="111">
        <f t="shared" ca="1" si="11"/>
        <v>0</v>
      </c>
      <c r="G143" s="112">
        <f ca="1">IF(ROUND(SUM(B143:C143,-F143),0)=0,0,IF($B$6="Yes",SUM($C$9:C143),SUM(B143:C143,-F143)))</f>
        <v>0</v>
      </c>
    </row>
    <row r="144" spans="1:7" ht="16.149999999999999" customHeight="1" x14ac:dyDescent="0.25">
      <c r="A144" s="109">
        <f t="shared" ca="1" si="10"/>
        <v>49948</v>
      </c>
      <c r="B144" s="110">
        <f t="shared" ca="1" si="12"/>
        <v>0</v>
      </c>
      <c r="C144" s="115">
        <v>0</v>
      </c>
      <c r="D144" s="111">
        <f t="shared" ca="1" si="13"/>
        <v>0</v>
      </c>
      <c r="E144" s="111">
        <f t="shared" ca="1" si="14"/>
        <v>0</v>
      </c>
      <c r="F144" s="111">
        <f t="shared" ca="1" si="11"/>
        <v>0</v>
      </c>
      <c r="G144" s="112">
        <f ca="1">IF(ROUND(SUM(B144:C144,-F144),0)=0,0,IF($B$6="Yes",SUM($C$9:C144),SUM(B144:C144,-F144)))</f>
        <v>0</v>
      </c>
    </row>
    <row r="145" spans="1:7" ht="16.149999999999999" customHeight="1" x14ac:dyDescent="0.25">
      <c r="A145" s="109">
        <f t="shared" ca="1" si="10"/>
        <v>49979</v>
      </c>
      <c r="B145" s="110">
        <f t="shared" ca="1" si="12"/>
        <v>0</v>
      </c>
      <c r="C145" s="115">
        <v>0</v>
      </c>
      <c r="D145" s="111">
        <f t="shared" ca="1" si="13"/>
        <v>0</v>
      </c>
      <c r="E145" s="111">
        <f t="shared" ca="1" si="14"/>
        <v>0</v>
      </c>
      <c r="F145" s="111">
        <f t="shared" ca="1" si="11"/>
        <v>0</v>
      </c>
      <c r="G145" s="112">
        <f ca="1">IF(ROUND(SUM(B145:C145,-F145),0)=0,0,IF($B$6="Yes",SUM($C$9:C145),SUM(B145:C145,-F145)))</f>
        <v>0</v>
      </c>
    </row>
    <row r="146" spans="1:7" ht="16.149999999999999" customHeight="1" x14ac:dyDescent="0.25">
      <c r="A146" s="109">
        <f t="shared" ca="1" si="10"/>
        <v>50009</v>
      </c>
      <c r="B146" s="110">
        <f t="shared" ca="1" si="12"/>
        <v>0</v>
      </c>
      <c r="C146" s="115">
        <v>0</v>
      </c>
      <c r="D146" s="111">
        <f t="shared" ca="1" si="13"/>
        <v>0</v>
      </c>
      <c r="E146" s="111">
        <f t="shared" ca="1" si="14"/>
        <v>0</v>
      </c>
      <c r="F146" s="111">
        <f t="shared" ca="1" si="11"/>
        <v>0</v>
      </c>
      <c r="G146" s="112">
        <f ca="1">IF(ROUND(SUM(B146:C146,-F146),0)=0,0,IF($B$6="Yes",SUM($C$9:C146),SUM(B146:C146,-F146)))</f>
        <v>0</v>
      </c>
    </row>
    <row r="147" spans="1:7" ht="16.149999999999999" customHeight="1" x14ac:dyDescent="0.25">
      <c r="A147" s="109">
        <f t="shared" ca="1" si="10"/>
        <v>50040</v>
      </c>
      <c r="B147" s="110">
        <f t="shared" ca="1" si="12"/>
        <v>0</v>
      </c>
      <c r="C147" s="115">
        <v>0</v>
      </c>
      <c r="D147" s="111">
        <f t="shared" ca="1" si="13"/>
        <v>0</v>
      </c>
      <c r="E147" s="111">
        <f t="shared" ca="1" si="14"/>
        <v>0</v>
      </c>
      <c r="F147" s="111">
        <f t="shared" ca="1" si="11"/>
        <v>0</v>
      </c>
      <c r="G147" s="112">
        <f ca="1">IF(ROUND(SUM(B147:C147,-F147),0)=0,0,IF($B$6="Yes",SUM($C$9:C147),SUM(B147:C147,-F147)))</f>
        <v>0</v>
      </c>
    </row>
    <row r="148" spans="1:7" ht="16.149999999999999" customHeight="1" x14ac:dyDescent="0.25">
      <c r="A148" s="109">
        <f t="shared" ca="1" si="10"/>
        <v>50071</v>
      </c>
      <c r="B148" s="110">
        <f t="shared" ca="1" si="12"/>
        <v>0</v>
      </c>
      <c r="C148" s="115">
        <v>0</v>
      </c>
      <c r="D148" s="111">
        <f t="shared" ca="1" si="13"/>
        <v>0</v>
      </c>
      <c r="E148" s="111">
        <f t="shared" ca="1" si="14"/>
        <v>0</v>
      </c>
      <c r="F148" s="111">
        <f t="shared" ca="1" si="11"/>
        <v>0</v>
      </c>
      <c r="G148" s="112">
        <f ca="1">IF(ROUND(SUM(B148:C148,-F148),0)=0,0,IF($B$6="Yes",SUM($C$9:C148),SUM(B148:C148,-F148)))</f>
        <v>0</v>
      </c>
    </row>
    <row r="149" spans="1:7" ht="16.149999999999999" customHeight="1" x14ac:dyDescent="0.25">
      <c r="A149" s="109">
        <f t="shared" ca="1" si="10"/>
        <v>50099</v>
      </c>
      <c r="B149" s="110">
        <f t="shared" ca="1" si="12"/>
        <v>0</v>
      </c>
      <c r="C149" s="115">
        <v>0</v>
      </c>
      <c r="D149" s="111">
        <f t="shared" ca="1" si="13"/>
        <v>0</v>
      </c>
      <c r="E149" s="111">
        <f t="shared" ca="1" si="14"/>
        <v>0</v>
      </c>
      <c r="F149" s="111">
        <f t="shared" ca="1" si="11"/>
        <v>0</v>
      </c>
      <c r="G149" s="112">
        <f ca="1">IF(ROUND(SUM(B149:C149,-F149),0)=0,0,IF($B$6="Yes",SUM($C$9:C149),SUM(B149:C149,-F149)))</f>
        <v>0</v>
      </c>
    </row>
    <row r="150" spans="1:7" ht="16.149999999999999" customHeight="1" x14ac:dyDescent="0.25">
      <c r="A150" s="109">
        <f t="shared" ca="1" si="10"/>
        <v>50130</v>
      </c>
      <c r="B150" s="110">
        <f t="shared" ca="1" si="12"/>
        <v>0</v>
      </c>
      <c r="C150" s="115">
        <v>0</v>
      </c>
      <c r="D150" s="111">
        <f t="shared" ca="1" si="13"/>
        <v>0</v>
      </c>
      <c r="E150" s="111">
        <f t="shared" ca="1" si="14"/>
        <v>0</v>
      </c>
      <c r="F150" s="111">
        <f t="shared" ca="1" si="11"/>
        <v>0</v>
      </c>
      <c r="G150" s="112">
        <f ca="1">IF(ROUND(SUM(B150:C150,-F150),0)=0,0,IF($B$6="Yes",SUM($C$9:C150),SUM(B150:C150,-F150)))</f>
        <v>0</v>
      </c>
    </row>
    <row r="151" spans="1:7" ht="16.149999999999999" customHeight="1" x14ac:dyDescent="0.25">
      <c r="A151" s="109">
        <f t="shared" ca="1" si="10"/>
        <v>50160</v>
      </c>
      <c r="B151" s="110">
        <f t="shared" ca="1" si="12"/>
        <v>0</v>
      </c>
      <c r="C151" s="115">
        <v>0</v>
      </c>
      <c r="D151" s="111">
        <f t="shared" ca="1" si="13"/>
        <v>0</v>
      </c>
      <c r="E151" s="111">
        <f t="shared" ca="1" si="14"/>
        <v>0</v>
      </c>
      <c r="F151" s="111">
        <f t="shared" ca="1" si="11"/>
        <v>0</v>
      </c>
      <c r="G151" s="112">
        <f ca="1">IF(ROUND(SUM(B151:C151,-F151),0)=0,0,IF($B$6="Yes",SUM($C$9:C151),SUM(B151:C151,-F151)))</f>
        <v>0</v>
      </c>
    </row>
    <row r="152" spans="1:7" ht="16.149999999999999" customHeight="1" x14ac:dyDescent="0.25">
      <c r="A152" s="109">
        <f t="shared" ca="1" si="10"/>
        <v>50191</v>
      </c>
      <c r="B152" s="110">
        <f t="shared" ca="1" si="12"/>
        <v>0</v>
      </c>
      <c r="C152" s="115">
        <v>0</v>
      </c>
      <c r="D152" s="111">
        <f t="shared" ca="1" si="13"/>
        <v>0</v>
      </c>
      <c r="E152" s="111">
        <f t="shared" ca="1" si="14"/>
        <v>0</v>
      </c>
      <c r="F152" s="111">
        <f t="shared" ca="1" si="11"/>
        <v>0</v>
      </c>
      <c r="G152" s="112">
        <f ca="1">IF(ROUND(SUM(B152:C152,-F152),0)=0,0,IF($B$6="Yes",SUM($C$9:C152),SUM(B152:C152,-F152)))</f>
        <v>0</v>
      </c>
    </row>
    <row r="153" spans="1:7" ht="16.149999999999999" customHeight="1" x14ac:dyDescent="0.25">
      <c r="A153" s="109">
        <f t="shared" ca="1" si="10"/>
        <v>50221</v>
      </c>
      <c r="B153" s="110">
        <f t="shared" ca="1" si="12"/>
        <v>0</v>
      </c>
      <c r="C153" s="115">
        <v>0</v>
      </c>
      <c r="D153" s="111">
        <f t="shared" ca="1" si="13"/>
        <v>0</v>
      </c>
      <c r="E153" s="111">
        <f t="shared" ca="1" si="14"/>
        <v>0</v>
      </c>
      <c r="F153" s="111">
        <f t="shared" ca="1" si="11"/>
        <v>0</v>
      </c>
      <c r="G153" s="112">
        <f ca="1">IF(ROUND(SUM(B153:C153,-F153),0)=0,0,IF($B$6="Yes",SUM($C$9:C153),SUM(B153:C153,-F153)))</f>
        <v>0</v>
      </c>
    </row>
    <row r="154" spans="1:7" ht="16.149999999999999" customHeight="1" x14ac:dyDescent="0.25">
      <c r="A154" s="109">
        <f t="shared" ca="1" si="10"/>
        <v>50252</v>
      </c>
      <c r="B154" s="110">
        <f t="shared" ca="1" si="12"/>
        <v>0</v>
      </c>
      <c r="C154" s="115">
        <v>0</v>
      </c>
      <c r="D154" s="111">
        <f t="shared" ca="1" si="13"/>
        <v>0</v>
      </c>
      <c r="E154" s="111">
        <f t="shared" ca="1" si="14"/>
        <v>0</v>
      </c>
      <c r="F154" s="111">
        <f t="shared" ca="1" si="11"/>
        <v>0</v>
      </c>
      <c r="G154" s="112">
        <f ca="1">IF(ROUND(SUM(B154:C154,-F154),0)=0,0,IF($B$6="Yes",SUM($C$9:C154),SUM(B154:C154,-F154)))</f>
        <v>0</v>
      </c>
    </row>
    <row r="155" spans="1:7" ht="16.149999999999999" customHeight="1" x14ac:dyDescent="0.25">
      <c r="A155" s="109">
        <f t="shared" ca="1" si="10"/>
        <v>50283</v>
      </c>
      <c r="B155" s="110">
        <f t="shared" ca="1" si="12"/>
        <v>0</v>
      </c>
      <c r="C155" s="115">
        <v>0</v>
      </c>
      <c r="D155" s="111">
        <f t="shared" ca="1" si="13"/>
        <v>0</v>
      </c>
      <c r="E155" s="111">
        <f t="shared" ca="1" si="14"/>
        <v>0</v>
      </c>
      <c r="F155" s="111">
        <f t="shared" ca="1" si="11"/>
        <v>0</v>
      </c>
      <c r="G155" s="112">
        <f ca="1">IF(ROUND(SUM(B155:C155,-F155),0)=0,0,IF($B$6="Yes",SUM($C$9:C155),SUM(B155:C155,-F155)))</f>
        <v>0</v>
      </c>
    </row>
    <row r="156" spans="1:7" ht="16.149999999999999" customHeight="1" x14ac:dyDescent="0.25">
      <c r="A156" s="109">
        <f t="shared" ca="1" si="10"/>
        <v>50313</v>
      </c>
      <c r="B156" s="110">
        <f t="shared" ca="1" si="12"/>
        <v>0</v>
      </c>
      <c r="C156" s="115">
        <v>0</v>
      </c>
      <c r="D156" s="111">
        <f t="shared" ca="1" si="13"/>
        <v>0</v>
      </c>
      <c r="E156" s="111">
        <f t="shared" ca="1" si="14"/>
        <v>0</v>
      </c>
      <c r="F156" s="111">
        <f t="shared" ca="1" si="11"/>
        <v>0</v>
      </c>
      <c r="G156" s="112">
        <f ca="1">IF(ROUND(SUM(B156:C156,-F156),0)=0,0,IF($B$6="Yes",SUM($C$9:C156),SUM(B156:C156,-F156)))</f>
        <v>0</v>
      </c>
    </row>
    <row r="157" spans="1:7" ht="16.149999999999999" customHeight="1" x14ac:dyDescent="0.25">
      <c r="A157" s="109">
        <f t="shared" ca="1" si="10"/>
        <v>50344</v>
      </c>
      <c r="B157" s="110">
        <f t="shared" ca="1" si="12"/>
        <v>0</v>
      </c>
      <c r="C157" s="115">
        <v>0</v>
      </c>
      <c r="D157" s="111">
        <f t="shared" ca="1" si="13"/>
        <v>0</v>
      </c>
      <c r="E157" s="111">
        <f t="shared" ca="1" si="14"/>
        <v>0</v>
      </c>
      <c r="F157" s="111">
        <f t="shared" ca="1" si="11"/>
        <v>0</v>
      </c>
      <c r="G157" s="112">
        <f ca="1">IF(ROUND(SUM(B157:C157,-F157),0)=0,0,IF($B$6="Yes",SUM($C$9:C157),SUM(B157:C157,-F157)))</f>
        <v>0</v>
      </c>
    </row>
    <row r="158" spans="1:7" ht="16.149999999999999" customHeight="1" x14ac:dyDescent="0.25">
      <c r="A158" s="109">
        <f t="shared" ca="1" si="10"/>
        <v>50374</v>
      </c>
      <c r="B158" s="110">
        <f t="shared" ca="1" si="12"/>
        <v>0</v>
      </c>
      <c r="C158" s="115">
        <v>0</v>
      </c>
      <c r="D158" s="111">
        <f t="shared" ca="1" si="13"/>
        <v>0</v>
      </c>
      <c r="E158" s="111">
        <f t="shared" ca="1" si="14"/>
        <v>0</v>
      </c>
      <c r="F158" s="111">
        <f t="shared" ca="1" si="11"/>
        <v>0</v>
      </c>
      <c r="G158" s="112">
        <f ca="1">IF(ROUND(SUM(B158:C158,-F158),0)=0,0,IF($B$6="Yes",SUM($C$9:C158),SUM(B158:C158,-F158)))</f>
        <v>0</v>
      </c>
    </row>
    <row r="159" spans="1:7" ht="16.149999999999999" customHeight="1" x14ac:dyDescent="0.25">
      <c r="A159" s="109">
        <f t="shared" ca="1" si="10"/>
        <v>50405</v>
      </c>
      <c r="B159" s="110">
        <f t="shared" ca="1" si="12"/>
        <v>0</v>
      </c>
      <c r="C159" s="115">
        <v>0</v>
      </c>
      <c r="D159" s="111">
        <f t="shared" ca="1" si="13"/>
        <v>0</v>
      </c>
      <c r="E159" s="111">
        <f t="shared" ca="1" si="14"/>
        <v>0</v>
      </c>
      <c r="F159" s="111">
        <f t="shared" ca="1" si="11"/>
        <v>0</v>
      </c>
      <c r="G159" s="112">
        <f ca="1">IF(ROUND(SUM(B159:C159,-F159),0)=0,0,IF($B$6="Yes",SUM($C$9:C159),SUM(B159:C159,-F159)))</f>
        <v>0</v>
      </c>
    </row>
    <row r="160" spans="1:7" ht="16.149999999999999" customHeight="1" x14ac:dyDescent="0.25">
      <c r="A160" s="109">
        <f t="shared" ca="1" si="10"/>
        <v>50436</v>
      </c>
      <c r="B160" s="110">
        <f t="shared" ca="1" si="12"/>
        <v>0</v>
      </c>
      <c r="C160" s="115">
        <v>0</v>
      </c>
      <c r="D160" s="111">
        <f t="shared" ca="1" si="13"/>
        <v>0</v>
      </c>
      <c r="E160" s="111">
        <f t="shared" ca="1" si="14"/>
        <v>0</v>
      </c>
      <c r="F160" s="111">
        <f t="shared" ca="1" si="11"/>
        <v>0</v>
      </c>
      <c r="G160" s="112">
        <f ca="1">IF(ROUND(SUM(B160:C160,-F160),0)=0,0,IF($B$6="Yes",SUM($C$9:C160),SUM(B160:C160,-F160)))</f>
        <v>0</v>
      </c>
    </row>
    <row r="161" spans="1:7" ht="16.149999999999999" customHeight="1" x14ac:dyDescent="0.25">
      <c r="A161" s="109">
        <f t="shared" ca="1" si="10"/>
        <v>50464</v>
      </c>
      <c r="B161" s="110">
        <f t="shared" ca="1" si="12"/>
        <v>0</v>
      </c>
      <c r="C161" s="115">
        <v>0</v>
      </c>
      <c r="D161" s="111">
        <f t="shared" ca="1" si="13"/>
        <v>0</v>
      </c>
      <c r="E161" s="111">
        <f t="shared" ca="1" si="14"/>
        <v>0</v>
      </c>
      <c r="F161" s="111">
        <f t="shared" ca="1" si="11"/>
        <v>0</v>
      </c>
      <c r="G161" s="112">
        <f ca="1">IF(ROUND(SUM(B161:C161,-F161),0)=0,0,IF($B$6="Yes",SUM($C$9:C161),SUM(B161:C161,-F161)))</f>
        <v>0</v>
      </c>
    </row>
    <row r="162" spans="1:7" ht="16.149999999999999" customHeight="1" x14ac:dyDescent="0.25">
      <c r="A162" s="109">
        <f t="shared" ca="1" si="10"/>
        <v>50495</v>
      </c>
      <c r="B162" s="110">
        <f t="shared" ca="1" si="12"/>
        <v>0</v>
      </c>
      <c r="C162" s="115">
        <v>0</v>
      </c>
      <c r="D162" s="111">
        <f t="shared" ca="1" si="13"/>
        <v>0</v>
      </c>
      <c r="E162" s="111">
        <f t="shared" ca="1" si="14"/>
        <v>0</v>
      </c>
      <c r="F162" s="111">
        <f t="shared" ca="1" si="11"/>
        <v>0</v>
      </c>
      <c r="G162" s="112">
        <f ca="1">IF(ROUND(SUM(B162:C162,-F162),0)=0,0,IF($B$6="Yes",SUM($C$9:C162),SUM(B162:C162,-F162)))</f>
        <v>0</v>
      </c>
    </row>
    <row r="163" spans="1:7" ht="16.149999999999999" customHeight="1" x14ac:dyDescent="0.25">
      <c r="A163" s="109">
        <f t="shared" ca="1" si="10"/>
        <v>50525</v>
      </c>
      <c r="B163" s="110">
        <f t="shared" ca="1" si="12"/>
        <v>0</v>
      </c>
      <c r="C163" s="115">
        <v>0</v>
      </c>
      <c r="D163" s="111">
        <f t="shared" ca="1" si="13"/>
        <v>0</v>
      </c>
      <c r="E163" s="111">
        <f t="shared" ca="1" si="14"/>
        <v>0</v>
      </c>
      <c r="F163" s="111">
        <f t="shared" ca="1" si="11"/>
        <v>0</v>
      </c>
      <c r="G163" s="112">
        <f ca="1">IF(ROUND(SUM(B163:C163,-F163),0)=0,0,IF($B$6="Yes",SUM($C$9:C163),SUM(B163:C163,-F163)))</f>
        <v>0</v>
      </c>
    </row>
    <row r="164" spans="1:7" ht="16.149999999999999" customHeight="1" x14ac:dyDescent="0.25">
      <c r="A164" s="109">
        <f t="shared" ca="1" si="10"/>
        <v>50556</v>
      </c>
      <c r="B164" s="110">
        <f t="shared" ca="1" si="12"/>
        <v>0</v>
      </c>
      <c r="C164" s="115">
        <v>0</v>
      </c>
      <c r="D164" s="111">
        <f t="shared" ca="1" si="13"/>
        <v>0</v>
      </c>
      <c r="E164" s="111">
        <f t="shared" ca="1" si="14"/>
        <v>0</v>
      </c>
      <c r="F164" s="111">
        <f t="shared" ca="1" si="11"/>
        <v>0</v>
      </c>
      <c r="G164" s="112">
        <f ca="1">IF(ROUND(SUM(B164:C164,-F164),0)=0,0,IF($B$6="Yes",SUM($C$9:C164),SUM(B164:C164,-F164)))</f>
        <v>0</v>
      </c>
    </row>
    <row r="165" spans="1:7" ht="16.149999999999999" customHeight="1" x14ac:dyDescent="0.25">
      <c r="A165" s="109">
        <f t="shared" ca="1" si="10"/>
        <v>50586</v>
      </c>
      <c r="B165" s="110">
        <f t="shared" ca="1" si="12"/>
        <v>0</v>
      </c>
      <c r="C165" s="115">
        <v>0</v>
      </c>
      <c r="D165" s="111">
        <f t="shared" ca="1" si="13"/>
        <v>0</v>
      </c>
      <c r="E165" s="111">
        <f t="shared" ca="1" si="14"/>
        <v>0</v>
      </c>
      <c r="F165" s="111">
        <f t="shared" ca="1" si="11"/>
        <v>0</v>
      </c>
      <c r="G165" s="112">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165"/>
  <sheetViews>
    <sheetView zoomScale="95" workbookViewId="0">
      <pane ySplit="8" topLeftCell="A9" activePane="bottomLeft" state="frozen"/>
      <selection pane="bottomLeft" activeCell="E15" sqref="E15"/>
    </sheetView>
  </sheetViews>
  <sheetFormatPr defaultColWidth="9.140625" defaultRowHeight="16.149999999999999" customHeight="1" x14ac:dyDescent="0.25"/>
  <cols>
    <col min="1" max="1" width="15.7109375" style="100" customWidth="1"/>
    <col min="2" max="7" width="13.7109375" style="11" customWidth="1"/>
    <col min="8" max="20" width="15.7109375" style="5" customWidth="1"/>
    <col min="21" max="16384" width="9.140625" style="5"/>
  </cols>
  <sheetData>
    <row r="1" spans="1:9" ht="16.149999999999999" customHeight="1" x14ac:dyDescent="0.25">
      <c r="A1" s="135" t="str">
        <f>IF(ISBLANK(Assumptions!$C$4),"Example Limited",Assumptions!$C$4)</f>
        <v>Maisha Transport Company Limited</v>
      </c>
      <c r="B1" s="3"/>
      <c r="C1" s="3"/>
      <c r="G1" s="99"/>
    </row>
    <row r="2" spans="1:9" ht="16.149999999999999" customHeight="1" x14ac:dyDescent="0.25">
      <c r="A2" s="6" t="s">
        <v>178</v>
      </c>
    </row>
    <row r="3" spans="1:9" ht="16.149999999999999" customHeight="1" x14ac:dyDescent="0.25">
      <c r="A3" s="6"/>
    </row>
    <row r="4" spans="1:9" ht="16.149999999999999" customHeight="1" x14ac:dyDescent="0.25">
      <c r="A4" s="100" t="s">
        <v>33</v>
      </c>
      <c r="B4" s="101">
        <f>Assumptions!$F$72</f>
        <v>0</v>
      </c>
      <c r="C4" s="102"/>
    </row>
    <row r="5" spans="1:9" ht="16.149999999999999" customHeight="1" x14ac:dyDescent="0.25">
      <c r="A5" s="100" t="s">
        <v>38</v>
      </c>
      <c r="B5" s="103">
        <f>Assumptions!$F$73</f>
        <v>5</v>
      </c>
      <c r="C5" s="104"/>
    </row>
    <row r="6" spans="1:9" ht="16.149999999999999" customHeight="1" x14ac:dyDescent="0.25">
      <c r="A6" s="100" t="s">
        <v>39</v>
      </c>
      <c r="B6" s="105" t="str">
        <f>Assumptions!$F$74</f>
        <v>No</v>
      </c>
      <c r="C6" s="106"/>
    </row>
    <row r="7" spans="1:9" ht="16.149999999999999" customHeight="1" x14ac:dyDescent="0.25">
      <c r="A7" s="30" t="s">
        <v>57</v>
      </c>
    </row>
    <row r="8" spans="1:9" s="81" customFormat="1" ht="25.5" x14ac:dyDescent="0.25">
      <c r="A8" s="107" t="s">
        <v>46</v>
      </c>
      <c r="B8" s="108" t="s">
        <v>43</v>
      </c>
      <c r="C8" s="108" t="s">
        <v>252</v>
      </c>
      <c r="D8" s="108" t="s">
        <v>42</v>
      </c>
      <c r="E8" s="108" t="s">
        <v>253</v>
      </c>
      <c r="F8" s="108" t="s">
        <v>56</v>
      </c>
      <c r="G8" s="108" t="s">
        <v>44</v>
      </c>
    </row>
    <row r="9" spans="1:9" s="113" customFormat="1" ht="16.149999999999999" customHeight="1" x14ac:dyDescent="0.25">
      <c r="A9" s="109">
        <f ca="1">IF(ISBLANK(Assumptions!$C$5)=TRUE,DATE(YEAR(TODAY()),MONTH(TODAY()),0),DATE(YEAR(Assumptions!$C$5),MONTH(Assumptions!$C$5),0))</f>
        <v>45838</v>
      </c>
      <c r="B9" s="110">
        <v>0</v>
      </c>
      <c r="C9" s="110">
        <f ca="1">-SUMIF(Assumptions!$A$76:$C$100,"FIN",Assumptions!$C$76:$C$100)</f>
        <v>0</v>
      </c>
      <c r="D9" s="110">
        <v>0</v>
      </c>
      <c r="E9" s="110">
        <v>0</v>
      </c>
      <c r="F9" s="111">
        <f>IF($B$6="Yes",0,D9-E9)</f>
        <v>0</v>
      </c>
      <c r="G9" s="112">
        <f ca="1">IF(ROUND(SUM(B9:C9,-F9),0)=0,0,IF($B$6="Yes",SUM($C$9:C9),SUM(B9:C9,-F9)))</f>
        <v>0</v>
      </c>
      <c r="I9" s="114"/>
    </row>
    <row r="10" spans="1:9" s="113" customFormat="1" ht="16.149999999999999" customHeight="1" x14ac:dyDescent="0.25">
      <c r="A10" s="109">
        <f ca="1">DATE(YEAR(A9),MONTH(A9)+2,0)</f>
        <v>45869</v>
      </c>
      <c r="B10" s="110">
        <f ca="1">G9</f>
        <v>0</v>
      </c>
      <c r="C10" s="115">
        <v>0</v>
      </c>
      <c r="D10" s="111">
        <f ca="1">IF($B$6="Yes",0,IF(ROW(C10)-ROW($C$9)&gt;$B$5*12,-PMT($B$4/12,$B$5*12,SUM(OFFSET(C10,0,0,-$B$5*12,1)),0,0),-PMT($B$4/12,$B$5*12,SUM(OFFSET(C10,0,0,ROW($C$8)-ROW(C10),1)),0,0)))</f>
        <v>0</v>
      </c>
      <c r="E10" s="111">
        <f ca="1">(G9+C10)*$B$4/12</f>
        <v>0</v>
      </c>
      <c r="F10" s="111">
        <f t="shared" ref="F10:F73" ca="1" si="0">IF($B$6="Yes",0,D10-E10)</f>
        <v>0</v>
      </c>
      <c r="G10" s="112">
        <f ca="1">IF(ROUND(SUM(B10:C10,-F10),0)=0,0,IF($B$6="Yes",SUM($C$9:C10),SUM(B10:C10,-F10)))</f>
        <v>0</v>
      </c>
      <c r="I10" s="114"/>
    </row>
    <row r="11" spans="1:9" s="113" customFormat="1" ht="16.149999999999999" customHeight="1" x14ac:dyDescent="0.25">
      <c r="A11" s="109">
        <f t="shared" ref="A11:A74" ca="1" si="1">DATE(YEAR(A10),MONTH(A10)+2,0)</f>
        <v>45900</v>
      </c>
      <c r="B11" s="110">
        <f t="shared" ref="B11:B74" ca="1" si="2">G10</f>
        <v>0</v>
      </c>
      <c r="C11" s="115">
        <v>0</v>
      </c>
      <c r="D11" s="111">
        <f t="shared" ref="D11:D74" ca="1" si="3">IF($B$6="Yes",0,IF(ROW(C11)-ROW($C$9)&gt;$B$5*12,-PMT($B$4/12,$B$5*12,SUM(OFFSET(C11,0,0,-$B$5*12,1)),0,0),-PMT($B$4/12,$B$5*12,SUM(OFFSET(C11,0,0,ROW($C$8)-ROW(C11),1)),0,0)))</f>
        <v>0</v>
      </c>
      <c r="E11" s="111">
        <f t="shared" ref="E11:E74" ca="1" si="4">(G10+C11)*$B$4/12</f>
        <v>0</v>
      </c>
      <c r="F11" s="111">
        <f t="shared" ca="1" si="0"/>
        <v>0</v>
      </c>
      <c r="G11" s="112">
        <f ca="1">IF(ROUND(SUM(B11:C11,-F11),0)=0,0,IF($B$6="Yes",SUM($C$9:C11),SUM(B11:C11,-F11)))</f>
        <v>0</v>
      </c>
    </row>
    <row r="12" spans="1:9" s="113" customFormat="1" ht="16.149999999999999" customHeight="1" x14ac:dyDescent="0.25">
      <c r="A12" s="109">
        <f t="shared" ca="1" si="1"/>
        <v>45930</v>
      </c>
      <c r="B12" s="110">
        <f t="shared" ca="1" si="2"/>
        <v>0</v>
      </c>
      <c r="C12" s="115">
        <v>0</v>
      </c>
      <c r="D12" s="111">
        <f t="shared" ca="1" si="3"/>
        <v>0</v>
      </c>
      <c r="E12" s="111">
        <f t="shared" ca="1" si="4"/>
        <v>0</v>
      </c>
      <c r="F12" s="111">
        <f t="shared" ca="1" si="0"/>
        <v>0</v>
      </c>
      <c r="G12" s="112">
        <f ca="1">IF(ROUND(SUM(B12:C12,-F12),0)=0,0,IF($B$6="Yes",SUM($C$9:C12),SUM(B12:C12,-F12)))</f>
        <v>0</v>
      </c>
    </row>
    <row r="13" spans="1:9" s="113" customFormat="1" ht="16.149999999999999" customHeight="1" x14ac:dyDescent="0.25">
      <c r="A13" s="109">
        <f t="shared" ca="1" si="1"/>
        <v>45961</v>
      </c>
      <c r="B13" s="110">
        <f t="shared" ca="1" si="2"/>
        <v>0</v>
      </c>
      <c r="C13" s="115">
        <v>0</v>
      </c>
      <c r="D13" s="111">
        <f t="shared" ca="1" si="3"/>
        <v>0</v>
      </c>
      <c r="E13" s="111">
        <f t="shared" ca="1" si="4"/>
        <v>0</v>
      </c>
      <c r="F13" s="111">
        <f t="shared" ca="1" si="0"/>
        <v>0</v>
      </c>
      <c r="G13" s="112">
        <f ca="1">IF(ROUND(SUM(B13:C13,-F13),0)=0,0,IF($B$6="Yes",SUM($C$9:C13),SUM(B13:C13,-F13)))</f>
        <v>0</v>
      </c>
    </row>
    <row r="14" spans="1:9" s="113" customFormat="1" ht="16.149999999999999" customHeight="1" x14ac:dyDescent="0.25">
      <c r="A14" s="109">
        <f t="shared" ca="1" si="1"/>
        <v>45991</v>
      </c>
      <c r="B14" s="110">
        <f t="shared" ca="1" si="2"/>
        <v>0</v>
      </c>
      <c r="C14" s="115">
        <v>0</v>
      </c>
      <c r="D14" s="111">
        <f t="shared" ca="1" si="3"/>
        <v>0</v>
      </c>
      <c r="E14" s="111">
        <f t="shared" ca="1" si="4"/>
        <v>0</v>
      </c>
      <c r="F14" s="111">
        <f t="shared" ca="1" si="0"/>
        <v>0</v>
      </c>
      <c r="G14" s="112">
        <f ca="1">IF(ROUND(SUM(B14:C14,-F14),0)=0,0,IF($B$6="Yes",SUM($C$9:C14),SUM(B14:C14,-F14)))</f>
        <v>0</v>
      </c>
    </row>
    <row r="15" spans="1:9" s="113" customFormat="1" ht="16.149999999999999" customHeight="1" x14ac:dyDescent="0.25">
      <c r="A15" s="109">
        <f t="shared" ca="1" si="1"/>
        <v>46022</v>
      </c>
      <c r="B15" s="110">
        <f t="shared" ca="1" si="2"/>
        <v>0</v>
      </c>
      <c r="C15" s="115">
        <v>0</v>
      </c>
      <c r="D15" s="111">
        <f t="shared" ca="1" si="3"/>
        <v>0</v>
      </c>
      <c r="E15" s="111">
        <f t="shared" ca="1" si="4"/>
        <v>0</v>
      </c>
      <c r="F15" s="111">
        <f t="shared" ca="1" si="0"/>
        <v>0</v>
      </c>
      <c r="G15" s="112">
        <f ca="1">IF(ROUND(SUM(B15:C15,-F15),0)=0,0,IF($B$6="Yes",SUM($C$9:C15),SUM(B15:C15,-F15)))</f>
        <v>0</v>
      </c>
    </row>
    <row r="16" spans="1:9" s="113" customFormat="1" ht="16.149999999999999" customHeight="1" x14ac:dyDescent="0.25">
      <c r="A16" s="109">
        <f t="shared" ca="1" si="1"/>
        <v>46053</v>
      </c>
      <c r="B16" s="110">
        <f t="shared" ca="1" si="2"/>
        <v>0</v>
      </c>
      <c r="C16" s="115">
        <v>0</v>
      </c>
      <c r="D16" s="111">
        <f t="shared" ca="1" si="3"/>
        <v>0</v>
      </c>
      <c r="E16" s="111">
        <f t="shared" ca="1" si="4"/>
        <v>0</v>
      </c>
      <c r="F16" s="111">
        <f t="shared" ca="1" si="0"/>
        <v>0</v>
      </c>
      <c r="G16" s="112">
        <f ca="1">IF(ROUND(SUM(B16:C16,-F16),0)=0,0,IF($B$6="Yes",SUM($C$9:C16),SUM(B16:C16,-F16)))</f>
        <v>0</v>
      </c>
    </row>
    <row r="17" spans="1:7" s="113" customFormat="1" ht="16.149999999999999" customHeight="1" x14ac:dyDescent="0.25">
      <c r="A17" s="109">
        <f t="shared" ca="1" si="1"/>
        <v>46081</v>
      </c>
      <c r="B17" s="110">
        <f t="shared" ca="1" si="2"/>
        <v>0</v>
      </c>
      <c r="C17" s="115">
        <v>0</v>
      </c>
      <c r="D17" s="111">
        <f t="shared" ca="1" si="3"/>
        <v>0</v>
      </c>
      <c r="E17" s="111">
        <f t="shared" ca="1" si="4"/>
        <v>0</v>
      </c>
      <c r="F17" s="111">
        <f t="shared" ca="1" si="0"/>
        <v>0</v>
      </c>
      <c r="G17" s="112">
        <f ca="1">IF(ROUND(SUM(B17:C17,-F17),0)=0,0,IF($B$6="Yes",SUM($C$9:C17),SUM(B17:C17,-F17)))</f>
        <v>0</v>
      </c>
    </row>
    <row r="18" spans="1:7" s="113" customFormat="1" ht="16.149999999999999" customHeight="1" x14ac:dyDescent="0.25">
      <c r="A18" s="109">
        <f t="shared" ca="1" si="1"/>
        <v>46112</v>
      </c>
      <c r="B18" s="110">
        <f t="shared" ca="1" si="2"/>
        <v>0</v>
      </c>
      <c r="C18" s="115">
        <v>0</v>
      </c>
      <c r="D18" s="111">
        <f t="shared" ca="1" si="3"/>
        <v>0</v>
      </c>
      <c r="E18" s="111">
        <f t="shared" ca="1" si="4"/>
        <v>0</v>
      </c>
      <c r="F18" s="111">
        <f t="shared" ca="1" si="0"/>
        <v>0</v>
      </c>
      <c r="G18" s="112">
        <f ca="1">IF(ROUND(SUM(B18:C18,-F18),0)=0,0,IF($B$6="Yes",SUM($C$9:C18),SUM(B18:C18,-F18)))</f>
        <v>0</v>
      </c>
    </row>
    <row r="19" spans="1:7" s="113" customFormat="1" ht="16.149999999999999" customHeight="1" x14ac:dyDescent="0.25">
      <c r="A19" s="109">
        <f t="shared" ca="1" si="1"/>
        <v>46142</v>
      </c>
      <c r="B19" s="110">
        <f t="shared" ca="1" si="2"/>
        <v>0</v>
      </c>
      <c r="C19" s="115">
        <v>0</v>
      </c>
      <c r="D19" s="111">
        <f t="shared" ca="1" si="3"/>
        <v>0</v>
      </c>
      <c r="E19" s="111">
        <f t="shared" ca="1" si="4"/>
        <v>0</v>
      </c>
      <c r="F19" s="111">
        <f t="shared" ca="1" si="0"/>
        <v>0</v>
      </c>
      <c r="G19" s="112">
        <f ca="1">IF(ROUND(SUM(B19:C19,-F19),0)=0,0,IF($B$6="Yes",SUM($C$9:C19),SUM(B19:C19,-F19)))</f>
        <v>0</v>
      </c>
    </row>
    <row r="20" spans="1:7" ht="16.149999999999999" customHeight="1" x14ac:dyDescent="0.25">
      <c r="A20" s="109">
        <f t="shared" ca="1" si="1"/>
        <v>46173</v>
      </c>
      <c r="B20" s="110">
        <f t="shared" ca="1" si="2"/>
        <v>0</v>
      </c>
      <c r="C20" s="115">
        <v>0</v>
      </c>
      <c r="D20" s="111">
        <f t="shared" ca="1" si="3"/>
        <v>0</v>
      </c>
      <c r="E20" s="111">
        <f t="shared" ca="1" si="4"/>
        <v>0</v>
      </c>
      <c r="F20" s="111">
        <f t="shared" ca="1" si="0"/>
        <v>0</v>
      </c>
      <c r="G20" s="112">
        <f ca="1">IF(ROUND(SUM(B20:C20,-F20),0)=0,0,IF($B$6="Yes",SUM($C$9:C20),SUM(B20:C20,-F20)))</f>
        <v>0</v>
      </c>
    </row>
    <row r="21" spans="1:7" ht="16.149999999999999" customHeight="1" x14ac:dyDescent="0.25">
      <c r="A21" s="109">
        <f t="shared" ca="1" si="1"/>
        <v>46203</v>
      </c>
      <c r="B21" s="110">
        <f t="shared" ca="1" si="2"/>
        <v>0</v>
      </c>
      <c r="C21" s="115">
        <v>0</v>
      </c>
      <c r="D21" s="111">
        <f t="shared" ca="1" si="3"/>
        <v>0</v>
      </c>
      <c r="E21" s="111">
        <f t="shared" ca="1" si="4"/>
        <v>0</v>
      </c>
      <c r="F21" s="111">
        <f t="shared" ca="1" si="0"/>
        <v>0</v>
      </c>
      <c r="G21" s="112">
        <f ca="1">IF(ROUND(SUM(B21:C21,-F21),0)=0,0,IF($B$6="Yes",SUM($C$9:C21),SUM(B21:C21,-F21)))</f>
        <v>0</v>
      </c>
    </row>
    <row r="22" spans="1:7" ht="16.149999999999999" customHeight="1" x14ac:dyDescent="0.25">
      <c r="A22" s="109">
        <f t="shared" ca="1" si="1"/>
        <v>46234</v>
      </c>
      <c r="B22" s="110">
        <f t="shared" ca="1" si="2"/>
        <v>0</v>
      </c>
      <c r="C22" s="115">
        <v>0</v>
      </c>
      <c r="D22" s="111">
        <f t="shared" ca="1" si="3"/>
        <v>0</v>
      </c>
      <c r="E22" s="111">
        <f t="shared" ca="1" si="4"/>
        <v>0</v>
      </c>
      <c r="F22" s="111">
        <f t="shared" ca="1" si="0"/>
        <v>0</v>
      </c>
      <c r="G22" s="112">
        <f ca="1">IF(ROUND(SUM(B22:C22,-F22),0)=0,0,IF($B$6="Yes",SUM($C$9:C22),SUM(B22:C22,-F22)))</f>
        <v>0</v>
      </c>
    </row>
    <row r="23" spans="1:7" s="64" customFormat="1" ht="16.149999999999999" customHeight="1" x14ac:dyDescent="0.25">
      <c r="A23" s="109">
        <f t="shared" ca="1" si="1"/>
        <v>46265</v>
      </c>
      <c r="B23" s="110">
        <f t="shared" ca="1" si="2"/>
        <v>0</v>
      </c>
      <c r="C23" s="115">
        <v>0</v>
      </c>
      <c r="D23" s="111">
        <f t="shared" ca="1" si="3"/>
        <v>0</v>
      </c>
      <c r="E23" s="111">
        <f t="shared" ca="1" si="4"/>
        <v>0</v>
      </c>
      <c r="F23" s="111">
        <f t="shared" ca="1" si="0"/>
        <v>0</v>
      </c>
      <c r="G23" s="112">
        <f ca="1">IF(ROUND(SUM(B23:C23,-F23),0)=0,0,IF($B$6="Yes",SUM($C$9:C23),SUM(B23:C23,-F23)))</f>
        <v>0</v>
      </c>
    </row>
    <row r="24" spans="1:7" ht="16.149999999999999" customHeight="1" x14ac:dyDescent="0.25">
      <c r="A24" s="109">
        <f t="shared" ca="1" si="1"/>
        <v>46295</v>
      </c>
      <c r="B24" s="110">
        <f t="shared" ca="1" si="2"/>
        <v>0</v>
      </c>
      <c r="C24" s="115">
        <v>0</v>
      </c>
      <c r="D24" s="111">
        <f t="shared" ca="1" si="3"/>
        <v>0</v>
      </c>
      <c r="E24" s="111">
        <f t="shared" ca="1" si="4"/>
        <v>0</v>
      </c>
      <c r="F24" s="111">
        <f t="shared" ca="1" si="0"/>
        <v>0</v>
      </c>
      <c r="G24" s="112">
        <f ca="1">IF(ROUND(SUM(B24:C24,-F24),0)=0,0,IF($B$6="Yes",SUM($C$9:C24),SUM(B24:C24,-F24)))</f>
        <v>0</v>
      </c>
    </row>
    <row r="25" spans="1:7" ht="16.149999999999999" customHeight="1" x14ac:dyDescent="0.25">
      <c r="A25" s="109">
        <f t="shared" ca="1" si="1"/>
        <v>46326</v>
      </c>
      <c r="B25" s="110">
        <f t="shared" ca="1" si="2"/>
        <v>0</v>
      </c>
      <c r="C25" s="115">
        <v>0</v>
      </c>
      <c r="D25" s="111">
        <f t="shared" ca="1" si="3"/>
        <v>0</v>
      </c>
      <c r="E25" s="111">
        <f t="shared" ca="1" si="4"/>
        <v>0</v>
      </c>
      <c r="F25" s="111">
        <f t="shared" ca="1" si="0"/>
        <v>0</v>
      </c>
      <c r="G25" s="112">
        <f ca="1">IF(ROUND(SUM(B25:C25,-F25),0)=0,0,IF($B$6="Yes",SUM($C$9:C25),SUM(B25:C25,-F25)))</f>
        <v>0</v>
      </c>
    </row>
    <row r="26" spans="1:7" ht="16.149999999999999" customHeight="1" x14ac:dyDescent="0.25">
      <c r="A26" s="109">
        <f t="shared" ca="1" si="1"/>
        <v>46356</v>
      </c>
      <c r="B26" s="110">
        <f t="shared" ca="1" si="2"/>
        <v>0</v>
      </c>
      <c r="C26" s="115">
        <v>0</v>
      </c>
      <c r="D26" s="111">
        <f t="shared" ca="1" si="3"/>
        <v>0</v>
      </c>
      <c r="E26" s="111">
        <f t="shared" ca="1" si="4"/>
        <v>0</v>
      </c>
      <c r="F26" s="111">
        <f t="shared" ca="1" si="0"/>
        <v>0</v>
      </c>
      <c r="G26" s="112">
        <f ca="1">IF(ROUND(SUM(B26:C26,-F26),0)=0,0,IF($B$6="Yes",SUM($C$9:C26),SUM(B26:C26,-F26)))</f>
        <v>0</v>
      </c>
    </row>
    <row r="27" spans="1:7" ht="16.149999999999999" customHeight="1" x14ac:dyDescent="0.25">
      <c r="A27" s="109">
        <f t="shared" ca="1" si="1"/>
        <v>46387</v>
      </c>
      <c r="B27" s="110">
        <f t="shared" ca="1" si="2"/>
        <v>0</v>
      </c>
      <c r="C27" s="115">
        <v>0</v>
      </c>
      <c r="D27" s="111">
        <f t="shared" ca="1" si="3"/>
        <v>0</v>
      </c>
      <c r="E27" s="111">
        <f t="shared" ca="1" si="4"/>
        <v>0</v>
      </c>
      <c r="F27" s="111">
        <f t="shared" ca="1" si="0"/>
        <v>0</v>
      </c>
      <c r="G27" s="112">
        <f ca="1">IF(ROUND(SUM(B27:C27,-F27),0)=0,0,IF($B$6="Yes",SUM($C$9:C27),SUM(B27:C27,-F27)))</f>
        <v>0</v>
      </c>
    </row>
    <row r="28" spans="1:7" ht="16.149999999999999" customHeight="1" x14ac:dyDescent="0.25">
      <c r="A28" s="109">
        <f t="shared" ca="1" si="1"/>
        <v>46418</v>
      </c>
      <c r="B28" s="110">
        <f t="shared" ca="1" si="2"/>
        <v>0</v>
      </c>
      <c r="C28" s="115">
        <v>0</v>
      </c>
      <c r="D28" s="111">
        <f t="shared" ca="1" si="3"/>
        <v>0</v>
      </c>
      <c r="E28" s="111">
        <f t="shared" ca="1" si="4"/>
        <v>0</v>
      </c>
      <c r="F28" s="111">
        <f t="shared" ca="1" si="0"/>
        <v>0</v>
      </c>
      <c r="G28" s="112">
        <f ca="1">IF(ROUND(SUM(B28:C28,-F28),0)=0,0,IF($B$6="Yes",SUM($C$9:C28),SUM(B28:C28,-F28)))</f>
        <v>0</v>
      </c>
    </row>
    <row r="29" spans="1:7" ht="16.149999999999999" customHeight="1" x14ac:dyDescent="0.25">
      <c r="A29" s="109">
        <f t="shared" ca="1" si="1"/>
        <v>46446</v>
      </c>
      <c r="B29" s="110">
        <f t="shared" ca="1" si="2"/>
        <v>0</v>
      </c>
      <c r="C29" s="115">
        <v>0</v>
      </c>
      <c r="D29" s="111">
        <f t="shared" ca="1" si="3"/>
        <v>0</v>
      </c>
      <c r="E29" s="111">
        <f t="shared" ca="1" si="4"/>
        <v>0</v>
      </c>
      <c r="F29" s="111">
        <f t="shared" ca="1" si="0"/>
        <v>0</v>
      </c>
      <c r="G29" s="112">
        <f ca="1">IF(ROUND(SUM(B29:C29,-F29),0)=0,0,IF($B$6="Yes",SUM($C$9:C29),SUM(B29:C29,-F29)))</f>
        <v>0</v>
      </c>
    </row>
    <row r="30" spans="1:7" ht="16.149999999999999" customHeight="1" x14ac:dyDescent="0.25">
      <c r="A30" s="109">
        <f t="shared" ca="1" si="1"/>
        <v>46477</v>
      </c>
      <c r="B30" s="110">
        <f t="shared" ca="1" si="2"/>
        <v>0</v>
      </c>
      <c r="C30" s="115">
        <v>0</v>
      </c>
      <c r="D30" s="111">
        <f t="shared" ca="1" si="3"/>
        <v>0</v>
      </c>
      <c r="E30" s="111">
        <f t="shared" ca="1" si="4"/>
        <v>0</v>
      </c>
      <c r="F30" s="111">
        <f t="shared" ca="1" si="0"/>
        <v>0</v>
      </c>
      <c r="G30" s="112">
        <f ca="1">IF(ROUND(SUM(B30:C30,-F30),0)=0,0,IF($B$6="Yes",SUM($C$9:C30),SUM(B30:C30,-F30)))</f>
        <v>0</v>
      </c>
    </row>
    <row r="31" spans="1:7" ht="16.149999999999999" customHeight="1" x14ac:dyDescent="0.25">
      <c r="A31" s="109">
        <f t="shared" ca="1" si="1"/>
        <v>46507</v>
      </c>
      <c r="B31" s="110">
        <f t="shared" ca="1" si="2"/>
        <v>0</v>
      </c>
      <c r="C31" s="115">
        <v>0</v>
      </c>
      <c r="D31" s="111">
        <f t="shared" ca="1" si="3"/>
        <v>0</v>
      </c>
      <c r="E31" s="111">
        <f t="shared" ca="1" si="4"/>
        <v>0</v>
      </c>
      <c r="F31" s="111">
        <f t="shared" ca="1" si="0"/>
        <v>0</v>
      </c>
      <c r="G31" s="112">
        <f ca="1">IF(ROUND(SUM(B31:C31,-F31),0)=0,0,IF($B$6="Yes",SUM($C$9:C31),SUM(B31:C31,-F31)))</f>
        <v>0</v>
      </c>
    </row>
    <row r="32" spans="1:7" ht="16.149999999999999" customHeight="1" x14ac:dyDescent="0.25">
      <c r="A32" s="109">
        <f t="shared" ca="1" si="1"/>
        <v>46538</v>
      </c>
      <c r="B32" s="110">
        <f t="shared" ca="1" si="2"/>
        <v>0</v>
      </c>
      <c r="C32" s="115">
        <v>0</v>
      </c>
      <c r="D32" s="111">
        <f t="shared" ca="1" si="3"/>
        <v>0</v>
      </c>
      <c r="E32" s="111">
        <f t="shared" ca="1" si="4"/>
        <v>0</v>
      </c>
      <c r="F32" s="111">
        <f t="shared" ca="1" si="0"/>
        <v>0</v>
      </c>
      <c r="G32" s="112">
        <f ca="1">IF(ROUND(SUM(B32:C32,-F32),0)=0,0,IF($B$6="Yes",SUM($C$9:C32),SUM(B32:C32,-F32)))</f>
        <v>0</v>
      </c>
    </row>
    <row r="33" spans="1:7" ht="16.149999999999999" customHeight="1" x14ac:dyDescent="0.25">
      <c r="A33" s="109">
        <f t="shared" ca="1" si="1"/>
        <v>46568</v>
      </c>
      <c r="B33" s="110">
        <f t="shared" ca="1" si="2"/>
        <v>0</v>
      </c>
      <c r="C33" s="115">
        <v>0</v>
      </c>
      <c r="D33" s="111">
        <f t="shared" ca="1" si="3"/>
        <v>0</v>
      </c>
      <c r="E33" s="111">
        <f t="shared" ca="1" si="4"/>
        <v>0</v>
      </c>
      <c r="F33" s="111">
        <f t="shared" ca="1" si="0"/>
        <v>0</v>
      </c>
      <c r="G33" s="112">
        <f ca="1">IF(ROUND(SUM(B33:C33,-F33),0)=0,0,IF($B$6="Yes",SUM($C$9:C33),SUM(B33:C33,-F33)))</f>
        <v>0</v>
      </c>
    </row>
    <row r="34" spans="1:7" ht="16.149999999999999" customHeight="1" x14ac:dyDescent="0.25">
      <c r="A34" s="109">
        <f t="shared" ca="1" si="1"/>
        <v>46599</v>
      </c>
      <c r="B34" s="110">
        <f t="shared" ca="1" si="2"/>
        <v>0</v>
      </c>
      <c r="C34" s="115">
        <v>0</v>
      </c>
      <c r="D34" s="111">
        <f t="shared" ca="1" si="3"/>
        <v>0</v>
      </c>
      <c r="E34" s="111">
        <f t="shared" ca="1" si="4"/>
        <v>0</v>
      </c>
      <c r="F34" s="111">
        <f t="shared" ca="1" si="0"/>
        <v>0</v>
      </c>
      <c r="G34" s="112">
        <f ca="1">IF(ROUND(SUM(B34:C34,-F34),0)=0,0,IF($B$6="Yes",SUM($C$9:C34),SUM(B34:C34,-F34)))</f>
        <v>0</v>
      </c>
    </row>
    <row r="35" spans="1:7" ht="16.149999999999999" customHeight="1" x14ac:dyDescent="0.25">
      <c r="A35" s="109">
        <f t="shared" ca="1" si="1"/>
        <v>46630</v>
      </c>
      <c r="B35" s="110">
        <f t="shared" ca="1" si="2"/>
        <v>0</v>
      </c>
      <c r="C35" s="115">
        <v>0</v>
      </c>
      <c r="D35" s="111">
        <f t="shared" ca="1" si="3"/>
        <v>0</v>
      </c>
      <c r="E35" s="111">
        <f t="shared" ca="1" si="4"/>
        <v>0</v>
      </c>
      <c r="F35" s="111">
        <f t="shared" ca="1" si="0"/>
        <v>0</v>
      </c>
      <c r="G35" s="112">
        <f ca="1">IF(ROUND(SUM(B35:C35,-F35),0)=0,0,IF($B$6="Yes",SUM($C$9:C35),SUM(B35:C35,-F35)))</f>
        <v>0</v>
      </c>
    </row>
    <row r="36" spans="1:7" ht="16.149999999999999" customHeight="1" x14ac:dyDescent="0.25">
      <c r="A36" s="109">
        <f t="shared" ca="1" si="1"/>
        <v>46660</v>
      </c>
      <c r="B36" s="110">
        <f t="shared" ca="1" si="2"/>
        <v>0</v>
      </c>
      <c r="C36" s="115">
        <v>0</v>
      </c>
      <c r="D36" s="111">
        <f t="shared" ca="1" si="3"/>
        <v>0</v>
      </c>
      <c r="E36" s="111">
        <f t="shared" ca="1" si="4"/>
        <v>0</v>
      </c>
      <c r="F36" s="111">
        <f t="shared" ca="1" si="0"/>
        <v>0</v>
      </c>
      <c r="G36" s="112">
        <f ca="1">IF(ROUND(SUM(B36:C36,-F36),0)=0,0,IF($B$6="Yes",SUM($C$9:C36),SUM(B36:C36,-F36)))</f>
        <v>0</v>
      </c>
    </row>
    <row r="37" spans="1:7" ht="16.149999999999999" customHeight="1" x14ac:dyDescent="0.25">
      <c r="A37" s="109">
        <f t="shared" ca="1" si="1"/>
        <v>46691</v>
      </c>
      <c r="B37" s="110">
        <f t="shared" ca="1" si="2"/>
        <v>0</v>
      </c>
      <c r="C37" s="115">
        <v>0</v>
      </c>
      <c r="D37" s="111">
        <f t="shared" ca="1" si="3"/>
        <v>0</v>
      </c>
      <c r="E37" s="111">
        <f t="shared" ca="1" si="4"/>
        <v>0</v>
      </c>
      <c r="F37" s="111">
        <f t="shared" ca="1" si="0"/>
        <v>0</v>
      </c>
      <c r="G37" s="112">
        <f ca="1">IF(ROUND(SUM(B37:C37,-F37),0)=0,0,IF($B$6="Yes",SUM($C$9:C37),SUM(B37:C37,-F37)))</f>
        <v>0</v>
      </c>
    </row>
    <row r="38" spans="1:7" ht="16.149999999999999" customHeight="1" x14ac:dyDescent="0.25">
      <c r="A38" s="109">
        <f t="shared" ca="1" si="1"/>
        <v>46721</v>
      </c>
      <c r="B38" s="110">
        <f t="shared" ca="1" si="2"/>
        <v>0</v>
      </c>
      <c r="C38" s="115">
        <v>0</v>
      </c>
      <c r="D38" s="111">
        <f t="shared" ca="1" si="3"/>
        <v>0</v>
      </c>
      <c r="E38" s="111">
        <f t="shared" ca="1" si="4"/>
        <v>0</v>
      </c>
      <c r="F38" s="111">
        <f t="shared" ca="1" si="0"/>
        <v>0</v>
      </c>
      <c r="G38" s="112">
        <f ca="1">IF(ROUND(SUM(B38:C38,-F38),0)=0,0,IF($B$6="Yes",SUM($C$9:C38),SUM(B38:C38,-F38)))</f>
        <v>0</v>
      </c>
    </row>
    <row r="39" spans="1:7" ht="16.149999999999999" customHeight="1" x14ac:dyDescent="0.25">
      <c r="A39" s="109">
        <f t="shared" ca="1" si="1"/>
        <v>46752</v>
      </c>
      <c r="B39" s="110">
        <f t="shared" ca="1" si="2"/>
        <v>0</v>
      </c>
      <c r="C39" s="115">
        <v>0</v>
      </c>
      <c r="D39" s="111">
        <f t="shared" ca="1" si="3"/>
        <v>0</v>
      </c>
      <c r="E39" s="111">
        <f t="shared" ca="1" si="4"/>
        <v>0</v>
      </c>
      <c r="F39" s="111">
        <f t="shared" ca="1" si="0"/>
        <v>0</v>
      </c>
      <c r="G39" s="112">
        <f ca="1">IF(ROUND(SUM(B39:C39,-F39),0)=0,0,IF($B$6="Yes",SUM($C$9:C39),SUM(B39:C39,-F39)))</f>
        <v>0</v>
      </c>
    </row>
    <row r="40" spans="1:7" ht="16.149999999999999" customHeight="1" x14ac:dyDescent="0.25">
      <c r="A40" s="109">
        <f t="shared" ca="1" si="1"/>
        <v>46783</v>
      </c>
      <c r="B40" s="110">
        <f t="shared" ca="1" si="2"/>
        <v>0</v>
      </c>
      <c r="C40" s="115">
        <v>0</v>
      </c>
      <c r="D40" s="111">
        <f t="shared" ca="1" si="3"/>
        <v>0</v>
      </c>
      <c r="E40" s="111">
        <f t="shared" ca="1" si="4"/>
        <v>0</v>
      </c>
      <c r="F40" s="111">
        <f t="shared" ca="1" si="0"/>
        <v>0</v>
      </c>
      <c r="G40" s="112">
        <f ca="1">IF(ROUND(SUM(B40:C40,-F40),0)=0,0,IF($B$6="Yes",SUM($C$9:C40),SUM(B40:C40,-F40)))</f>
        <v>0</v>
      </c>
    </row>
    <row r="41" spans="1:7" ht="16.149999999999999" customHeight="1" x14ac:dyDescent="0.25">
      <c r="A41" s="109">
        <f t="shared" ca="1" si="1"/>
        <v>46812</v>
      </c>
      <c r="B41" s="110">
        <f t="shared" ca="1" si="2"/>
        <v>0</v>
      </c>
      <c r="C41" s="115">
        <v>0</v>
      </c>
      <c r="D41" s="111">
        <f t="shared" ca="1" si="3"/>
        <v>0</v>
      </c>
      <c r="E41" s="111">
        <f t="shared" ca="1" si="4"/>
        <v>0</v>
      </c>
      <c r="F41" s="111">
        <f t="shared" ca="1" si="0"/>
        <v>0</v>
      </c>
      <c r="G41" s="112">
        <f ca="1">IF(ROUND(SUM(B41:C41,-F41),0)=0,0,IF($B$6="Yes",SUM($C$9:C41),SUM(B41:C41,-F41)))</f>
        <v>0</v>
      </c>
    </row>
    <row r="42" spans="1:7" ht="16.149999999999999" customHeight="1" x14ac:dyDescent="0.25">
      <c r="A42" s="109">
        <f t="shared" ca="1" si="1"/>
        <v>46843</v>
      </c>
      <c r="B42" s="110">
        <f t="shared" ca="1" si="2"/>
        <v>0</v>
      </c>
      <c r="C42" s="115">
        <v>0</v>
      </c>
      <c r="D42" s="111">
        <f t="shared" ca="1" si="3"/>
        <v>0</v>
      </c>
      <c r="E42" s="111">
        <f t="shared" ca="1" si="4"/>
        <v>0</v>
      </c>
      <c r="F42" s="111">
        <f t="shared" ca="1" si="0"/>
        <v>0</v>
      </c>
      <c r="G42" s="112">
        <f ca="1">IF(ROUND(SUM(B42:C42,-F42),0)=0,0,IF($B$6="Yes",SUM($C$9:C42),SUM(B42:C42,-F42)))</f>
        <v>0</v>
      </c>
    </row>
    <row r="43" spans="1:7" ht="16.149999999999999" customHeight="1" x14ac:dyDescent="0.25">
      <c r="A43" s="109">
        <f t="shared" ca="1" si="1"/>
        <v>46873</v>
      </c>
      <c r="B43" s="110">
        <f t="shared" ca="1" si="2"/>
        <v>0</v>
      </c>
      <c r="C43" s="115">
        <v>0</v>
      </c>
      <c r="D43" s="111">
        <f t="shared" ca="1" si="3"/>
        <v>0</v>
      </c>
      <c r="E43" s="111">
        <f t="shared" ca="1" si="4"/>
        <v>0</v>
      </c>
      <c r="F43" s="111">
        <f t="shared" ca="1" si="0"/>
        <v>0</v>
      </c>
      <c r="G43" s="112">
        <f ca="1">IF(ROUND(SUM(B43:C43,-F43),0)=0,0,IF($B$6="Yes",SUM($C$9:C43),SUM(B43:C43,-F43)))</f>
        <v>0</v>
      </c>
    </row>
    <row r="44" spans="1:7" ht="16.149999999999999" customHeight="1" x14ac:dyDescent="0.25">
      <c r="A44" s="109">
        <f t="shared" ca="1" si="1"/>
        <v>46904</v>
      </c>
      <c r="B44" s="110">
        <f t="shared" ca="1" si="2"/>
        <v>0</v>
      </c>
      <c r="C44" s="115">
        <v>0</v>
      </c>
      <c r="D44" s="111">
        <f t="shared" ca="1" si="3"/>
        <v>0</v>
      </c>
      <c r="E44" s="111">
        <f t="shared" ca="1" si="4"/>
        <v>0</v>
      </c>
      <c r="F44" s="111">
        <f t="shared" ca="1" si="0"/>
        <v>0</v>
      </c>
      <c r="G44" s="112">
        <f ca="1">IF(ROUND(SUM(B44:C44,-F44),0)=0,0,IF($B$6="Yes",SUM($C$9:C44),SUM(B44:C44,-F44)))</f>
        <v>0</v>
      </c>
    </row>
    <row r="45" spans="1:7" ht="16.149999999999999" customHeight="1" x14ac:dyDescent="0.25">
      <c r="A45" s="109">
        <f t="shared" ca="1" si="1"/>
        <v>46934</v>
      </c>
      <c r="B45" s="110">
        <f t="shared" ca="1" si="2"/>
        <v>0</v>
      </c>
      <c r="C45" s="115">
        <v>0</v>
      </c>
      <c r="D45" s="111">
        <f t="shared" ca="1" si="3"/>
        <v>0</v>
      </c>
      <c r="E45" s="111">
        <f t="shared" ca="1" si="4"/>
        <v>0</v>
      </c>
      <c r="F45" s="111">
        <f t="shared" ca="1" si="0"/>
        <v>0</v>
      </c>
      <c r="G45" s="112">
        <f ca="1">IF(ROUND(SUM(B45:C45,-F45),0)=0,0,IF($B$6="Yes",SUM($C$9:C45),SUM(B45:C45,-F45)))</f>
        <v>0</v>
      </c>
    </row>
    <row r="46" spans="1:7" ht="16.149999999999999" customHeight="1" x14ac:dyDescent="0.25">
      <c r="A46" s="109">
        <f t="shared" ca="1" si="1"/>
        <v>46965</v>
      </c>
      <c r="B46" s="110">
        <f t="shared" ca="1" si="2"/>
        <v>0</v>
      </c>
      <c r="C46" s="115">
        <v>0</v>
      </c>
      <c r="D46" s="111">
        <f t="shared" ca="1" si="3"/>
        <v>0</v>
      </c>
      <c r="E46" s="111">
        <f t="shared" ca="1" si="4"/>
        <v>0</v>
      </c>
      <c r="F46" s="111">
        <f t="shared" ca="1" si="0"/>
        <v>0</v>
      </c>
      <c r="G46" s="112">
        <f ca="1">IF(ROUND(SUM(B46:C46,-F46),0)=0,0,IF($B$6="Yes",SUM($C$9:C46),SUM(B46:C46,-F46)))</f>
        <v>0</v>
      </c>
    </row>
    <row r="47" spans="1:7" ht="16.149999999999999" customHeight="1" x14ac:dyDescent="0.25">
      <c r="A47" s="109">
        <f t="shared" ca="1" si="1"/>
        <v>46996</v>
      </c>
      <c r="B47" s="110">
        <f t="shared" ca="1" si="2"/>
        <v>0</v>
      </c>
      <c r="C47" s="115">
        <v>0</v>
      </c>
      <c r="D47" s="111">
        <f t="shared" ca="1" si="3"/>
        <v>0</v>
      </c>
      <c r="E47" s="111">
        <f t="shared" ca="1" si="4"/>
        <v>0</v>
      </c>
      <c r="F47" s="111">
        <f t="shared" ca="1" si="0"/>
        <v>0</v>
      </c>
      <c r="G47" s="112">
        <f ca="1">IF(ROUND(SUM(B47:C47,-F47),0)=0,0,IF($B$6="Yes",SUM($C$9:C47),SUM(B47:C47,-F47)))</f>
        <v>0</v>
      </c>
    </row>
    <row r="48" spans="1:7" ht="16.149999999999999" customHeight="1" x14ac:dyDescent="0.25">
      <c r="A48" s="109">
        <f t="shared" ca="1" si="1"/>
        <v>47026</v>
      </c>
      <c r="B48" s="110">
        <f t="shared" ca="1" si="2"/>
        <v>0</v>
      </c>
      <c r="C48" s="115">
        <v>0</v>
      </c>
      <c r="D48" s="111">
        <f t="shared" ca="1" si="3"/>
        <v>0</v>
      </c>
      <c r="E48" s="111">
        <f t="shared" ca="1" si="4"/>
        <v>0</v>
      </c>
      <c r="F48" s="111">
        <f t="shared" ca="1" si="0"/>
        <v>0</v>
      </c>
      <c r="G48" s="112">
        <f ca="1">IF(ROUND(SUM(B48:C48,-F48),0)=0,0,IF($B$6="Yes",SUM($C$9:C48),SUM(B48:C48,-F48)))</f>
        <v>0</v>
      </c>
    </row>
    <row r="49" spans="1:7" ht="16.149999999999999" customHeight="1" x14ac:dyDescent="0.25">
      <c r="A49" s="109">
        <f t="shared" ca="1" si="1"/>
        <v>47057</v>
      </c>
      <c r="B49" s="110">
        <f t="shared" ca="1" si="2"/>
        <v>0</v>
      </c>
      <c r="C49" s="115">
        <v>0</v>
      </c>
      <c r="D49" s="111">
        <f t="shared" ca="1" si="3"/>
        <v>0</v>
      </c>
      <c r="E49" s="111">
        <f t="shared" ca="1" si="4"/>
        <v>0</v>
      </c>
      <c r="F49" s="111">
        <f t="shared" ca="1" si="0"/>
        <v>0</v>
      </c>
      <c r="G49" s="112">
        <f ca="1">IF(ROUND(SUM(B49:C49,-F49),0)=0,0,IF($B$6="Yes",SUM($C$9:C49),SUM(B49:C49,-F49)))</f>
        <v>0</v>
      </c>
    </row>
    <row r="50" spans="1:7" ht="16.149999999999999" customHeight="1" x14ac:dyDescent="0.25">
      <c r="A50" s="109">
        <f t="shared" ca="1" si="1"/>
        <v>47087</v>
      </c>
      <c r="B50" s="110">
        <f t="shared" ca="1" si="2"/>
        <v>0</v>
      </c>
      <c r="C50" s="115">
        <v>0</v>
      </c>
      <c r="D50" s="111">
        <f t="shared" ca="1" si="3"/>
        <v>0</v>
      </c>
      <c r="E50" s="111">
        <f t="shared" ca="1" si="4"/>
        <v>0</v>
      </c>
      <c r="F50" s="111">
        <f t="shared" ca="1" si="0"/>
        <v>0</v>
      </c>
      <c r="G50" s="112">
        <f ca="1">IF(ROUND(SUM(B50:C50,-F50),0)=0,0,IF($B$6="Yes",SUM($C$9:C50),SUM(B50:C50,-F50)))</f>
        <v>0</v>
      </c>
    </row>
    <row r="51" spans="1:7" ht="16.149999999999999" customHeight="1" x14ac:dyDescent="0.25">
      <c r="A51" s="109">
        <f t="shared" ca="1" si="1"/>
        <v>47118</v>
      </c>
      <c r="B51" s="110">
        <f t="shared" ca="1" si="2"/>
        <v>0</v>
      </c>
      <c r="C51" s="115">
        <v>0</v>
      </c>
      <c r="D51" s="111">
        <f t="shared" ca="1" si="3"/>
        <v>0</v>
      </c>
      <c r="E51" s="111">
        <f t="shared" ca="1" si="4"/>
        <v>0</v>
      </c>
      <c r="F51" s="111">
        <f t="shared" ca="1" si="0"/>
        <v>0</v>
      </c>
      <c r="G51" s="112">
        <f ca="1">IF(ROUND(SUM(B51:C51,-F51),0)=0,0,IF($B$6="Yes",SUM($C$9:C51),SUM(B51:C51,-F51)))</f>
        <v>0</v>
      </c>
    </row>
    <row r="52" spans="1:7" ht="16.149999999999999" customHeight="1" x14ac:dyDescent="0.25">
      <c r="A52" s="109">
        <f t="shared" ca="1" si="1"/>
        <v>47149</v>
      </c>
      <c r="B52" s="110">
        <f t="shared" ca="1" si="2"/>
        <v>0</v>
      </c>
      <c r="C52" s="115">
        <v>0</v>
      </c>
      <c r="D52" s="111">
        <f t="shared" ca="1" si="3"/>
        <v>0</v>
      </c>
      <c r="E52" s="111">
        <f t="shared" ca="1" si="4"/>
        <v>0</v>
      </c>
      <c r="F52" s="111">
        <f t="shared" ca="1" si="0"/>
        <v>0</v>
      </c>
      <c r="G52" s="112">
        <f ca="1">IF(ROUND(SUM(B52:C52,-F52),0)=0,0,IF($B$6="Yes",SUM($C$9:C52),SUM(B52:C52,-F52)))</f>
        <v>0</v>
      </c>
    </row>
    <row r="53" spans="1:7" ht="16.149999999999999" customHeight="1" x14ac:dyDescent="0.25">
      <c r="A53" s="109">
        <f t="shared" ca="1" si="1"/>
        <v>47177</v>
      </c>
      <c r="B53" s="110">
        <f t="shared" ca="1" si="2"/>
        <v>0</v>
      </c>
      <c r="C53" s="115">
        <v>0</v>
      </c>
      <c r="D53" s="111">
        <f t="shared" ca="1" si="3"/>
        <v>0</v>
      </c>
      <c r="E53" s="111">
        <f t="shared" ca="1" si="4"/>
        <v>0</v>
      </c>
      <c r="F53" s="111">
        <f t="shared" ca="1" si="0"/>
        <v>0</v>
      </c>
      <c r="G53" s="112">
        <f ca="1">IF(ROUND(SUM(B53:C53,-F53),0)=0,0,IF($B$6="Yes",SUM($C$9:C53),SUM(B53:C53,-F53)))</f>
        <v>0</v>
      </c>
    </row>
    <row r="54" spans="1:7" ht="16.149999999999999" customHeight="1" x14ac:dyDescent="0.25">
      <c r="A54" s="109">
        <f t="shared" ca="1" si="1"/>
        <v>47208</v>
      </c>
      <c r="B54" s="110">
        <f t="shared" ca="1" si="2"/>
        <v>0</v>
      </c>
      <c r="C54" s="115">
        <v>0</v>
      </c>
      <c r="D54" s="111">
        <f t="shared" ca="1" si="3"/>
        <v>0</v>
      </c>
      <c r="E54" s="111">
        <f t="shared" ca="1" si="4"/>
        <v>0</v>
      </c>
      <c r="F54" s="111">
        <f t="shared" ca="1" si="0"/>
        <v>0</v>
      </c>
      <c r="G54" s="112">
        <f ca="1">IF(ROUND(SUM(B54:C54,-F54),0)=0,0,IF($B$6="Yes",SUM($C$9:C54),SUM(B54:C54,-F54)))</f>
        <v>0</v>
      </c>
    </row>
    <row r="55" spans="1:7" ht="16.149999999999999" customHeight="1" x14ac:dyDescent="0.25">
      <c r="A55" s="109">
        <f t="shared" ca="1" si="1"/>
        <v>47238</v>
      </c>
      <c r="B55" s="110">
        <f t="shared" ca="1" si="2"/>
        <v>0</v>
      </c>
      <c r="C55" s="115">
        <v>0</v>
      </c>
      <c r="D55" s="111">
        <f t="shared" ca="1" si="3"/>
        <v>0</v>
      </c>
      <c r="E55" s="111">
        <f t="shared" ca="1" si="4"/>
        <v>0</v>
      </c>
      <c r="F55" s="111">
        <f t="shared" ca="1" si="0"/>
        <v>0</v>
      </c>
      <c r="G55" s="112">
        <f ca="1">IF(ROUND(SUM(B55:C55,-F55),0)=0,0,IF($B$6="Yes",SUM($C$9:C55),SUM(B55:C55,-F55)))</f>
        <v>0</v>
      </c>
    </row>
    <row r="56" spans="1:7" ht="16.149999999999999" customHeight="1" x14ac:dyDescent="0.25">
      <c r="A56" s="109">
        <f t="shared" ca="1" si="1"/>
        <v>47269</v>
      </c>
      <c r="B56" s="110">
        <f t="shared" ca="1" si="2"/>
        <v>0</v>
      </c>
      <c r="C56" s="115">
        <v>0</v>
      </c>
      <c r="D56" s="111">
        <f t="shared" ca="1" si="3"/>
        <v>0</v>
      </c>
      <c r="E56" s="111">
        <f t="shared" ca="1" si="4"/>
        <v>0</v>
      </c>
      <c r="F56" s="111">
        <f t="shared" ca="1" si="0"/>
        <v>0</v>
      </c>
      <c r="G56" s="112">
        <f ca="1">IF(ROUND(SUM(B56:C56,-F56),0)=0,0,IF($B$6="Yes",SUM($C$9:C56),SUM(B56:C56,-F56)))</f>
        <v>0</v>
      </c>
    </row>
    <row r="57" spans="1:7" ht="16.149999999999999" customHeight="1" x14ac:dyDescent="0.25">
      <c r="A57" s="109">
        <f t="shared" ca="1" si="1"/>
        <v>47299</v>
      </c>
      <c r="B57" s="110">
        <f t="shared" ca="1" si="2"/>
        <v>0</v>
      </c>
      <c r="C57" s="115">
        <v>0</v>
      </c>
      <c r="D57" s="111">
        <f t="shared" ca="1" si="3"/>
        <v>0</v>
      </c>
      <c r="E57" s="111">
        <f t="shared" ca="1" si="4"/>
        <v>0</v>
      </c>
      <c r="F57" s="111">
        <f t="shared" ca="1" si="0"/>
        <v>0</v>
      </c>
      <c r="G57" s="112">
        <f ca="1">IF(ROUND(SUM(B57:C57,-F57),0)=0,0,IF($B$6="Yes",SUM($C$9:C57),SUM(B57:C57,-F57)))</f>
        <v>0</v>
      </c>
    </row>
    <row r="58" spans="1:7" ht="16.149999999999999" customHeight="1" x14ac:dyDescent="0.25">
      <c r="A58" s="109">
        <f t="shared" ca="1" si="1"/>
        <v>47330</v>
      </c>
      <c r="B58" s="110">
        <f t="shared" ca="1" si="2"/>
        <v>0</v>
      </c>
      <c r="C58" s="115">
        <v>0</v>
      </c>
      <c r="D58" s="111">
        <f t="shared" ca="1" si="3"/>
        <v>0</v>
      </c>
      <c r="E58" s="111">
        <f t="shared" ca="1" si="4"/>
        <v>0</v>
      </c>
      <c r="F58" s="111">
        <f t="shared" ca="1" si="0"/>
        <v>0</v>
      </c>
      <c r="G58" s="112">
        <f ca="1">IF(ROUND(SUM(B58:C58,-F58),0)=0,0,IF($B$6="Yes",SUM($C$9:C58),SUM(B58:C58,-F58)))</f>
        <v>0</v>
      </c>
    </row>
    <row r="59" spans="1:7" ht="16.149999999999999" customHeight="1" x14ac:dyDescent="0.25">
      <c r="A59" s="109">
        <f t="shared" ca="1" si="1"/>
        <v>47361</v>
      </c>
      <c r="B59" s="110">
        <f t="shared" ca="1" si="2"/>
        <v>0</v>
      </c>
      <c r="C59" s="115">
        <v>0</v>
      </c>
      <c r="D59" s="111">
        <f t="shared" ca="1" si="3"/>
        <v>0</v>
      </c>
      <c r="E59" s="111">
        <f t="shared" ca="1" si="4"/>
        <v>0</v>
      </c>
      <c r="F59" s="111">
        <f t="shared" ca="1" si="0"/>
        <v>0</v>
      </c>
      <c r="G59" s="112">
        <f ca="1">IF(ROUND(SUM(B59:C59,-F59),0)=0,0,IF($B$6="Yes",SUM($C$9:C59),SUM(B59:C59,-F59)))</f>
        <v>0</v>
      </c>
    </row>
    <row r="60" spans="1:7" ht="16.149999999999999" customHeight="1" x14ac:dyDescent="0.25">
      <c r="A60" s="109">
        <f t="shared" ca="1" si="1"/>
        <v>47391</v>
      </c>
      <c r="B60" s="110">
        <f t="shared" ca="1" si="2"/>
        <v>0</v>
      </c>
      <c r="C60" s="115">
        <v>0</v>
      </c>
      <c r="D60" s="111">
        <f t="shared" ca="1" si="3"/>
        <v>0</v>
      </c>
      <c r="E60" s="111">
        <f t="shared" ca="1" si="4"/>
        <v>0</v>
      </c>
      <c r="F60" s="111">
        <f t="shared" ca="1" si="0"/>
        <v>0</v>
      </c>
      <c r="G60" s="112">
        <f ca="1">IF(ROUND(SUM(B60:C60,-F60),0)=0,0,IF($B$6="Yes",SUM($C$9:C60),SUM(B60:C60,-F60)))</f>
        <v>0</v>
      </c>
    </row>
    <row r="61" spans="1:7" ht="16.149999999999999" customHeight="1" x14ac:dyDescent="0.25">
      <c r="A61" s="109">
        <f t="shared" ca="1" si="1"/>
        <v>47422</v>
      </c>
      <c r="B61" s="110">
        <f t="shared" ca="1" si="2"/>
        <v>0</v>
      </c>
      <c r="C61" s="115">
        <v>0</v>
      </c>
      <c r="D61" s="111">
        <f t="shared" ca="1" si="3"/>
        <v>0</v>
      </c>
      <c r="E61" s="111">
        <f t="shared" ca="1" si="4"/>
        <v>0</v>
      </c>
      <c r="F61" s="111">
        <f t="shared" ca="1" si="0"/>
        <v>0</v>
      </c>
      <c r="G61" s="112">
        <f ca="1">IF(ROUND(SUM(B61:C61,-F61),0)=0,0,IF($B$6="Yes",SUM($C$9:C61),SUM(B61:C61,-F61)))</f>
        <v>0</v>
      </c>
    </row>
    <row r="62" spans="1:7" ht="16.149999999999999" customHeight="1" x14ac:dyDescent="0.25">
      <c r="A62" s="109">
        <f t="shared" ca="1" si="1"/>
        <v>47452</v>
      </c>
      <c r="B62" s="110">
        <f t="shared" ca="1" si="2"/>
        <v>0</v>
      </c>
      <c r="C62" s="115">
        <v>0</v>
      </c>
      <c r="D62" s="111">
        <f t="shared" ca="1" si="3"/>
        <v>0</v>
      </c>
      <c r="E62" s="111">
        <f t="shared" ca="1" si="4"/>
        <v>0</v>
      </c>
      <c r="F62" s="111">
        <f t="shared" ca="1" si="0"/>
        <v>0</v>
      </c>
      <c r="G62" s="112">
        <f ca="1">IF(ROUND(SUM(B62:C62,-F62),0)=0,0,IF($B$6="Yes",SUM($C$9:C62),SUM(B62:C62,-F62)))</f>
        <v>0</v>
      </c>
    </row>
    <row r="63" spans="1:7" ht="16.149999999999999" customHeight="1" x14ac:dyDescent="0.25">
      <c r="A63" s="109">
        <f t="shared" ca="1" si="1"/>
        <v>47483</v>
      </c>
      <c r="B63" s="110">
        <f t="shared" ca="1" si="2"/>
        <v>0</v>
      </c>
      <c r="C63" s="115">
        <v>0</v>
      </c>
      <c r="D63" s="111">
        <f t="shared" ca="1" si="3"/>
        <v>0</v>
      </c>
      <c r="E63" s="111">
        <f t="shared" ca="1" si="4"/>
        <v>0</v>
      </c>
      <c r="F63" s="111">
        <f t="shared" ca="1" si="0"/>
        <v>0</v>
      </c>
      <c r="G63" s="112">
        <f ca="1">IF(ROUND(SUM(B63:C63,-F63),0)=0,0,IF($B$6="Yes",SUM($C$9:C63),SUM(B63:C63,-F63)))</f>
        <v>0</v>
      </c>
    </row>
    <row r="64" spans="1:7" ht="16.149999999999999" customHeight="1" x14ac:dyDescent="0.25">
      <c r="A64" s="109">
        <f t="shared" ca="1" si="1"/>
        <v>47514</v>
      </c>
      <c r="B64" s="110">
        <f t="shared" ca="1" si="2"/>
        <v>0</v>
      </c>
      <c r="C64" s="115">
        <v>0</v>
      </c>
      <c r="D64" s="111">
        <f t="shared" ca="1" si="3"/>
        <v>0</v>
      </c>
      <c r="E64" s="111">
        <f t="shared" ca="1" si="4"/>
        <v>0</v>
      </c>
      <c r="F64" s="111">
        <f t="shared" ca="1" si="0"/>
        <v>0</v>
      </c>
      <c r="G64" s="112">
        <f ca="1">IF(ROUND(SUM(B64:C64,-F64),0)=0,0,IF($B$6="Yes",SUM($C$9:C64),SUM(B64:C64,-F64)))</f>
        <v>0</v>
      </c>
    </row>
    <row r="65" spans="1:7" ht="16.149999999999999" customHeight="1" x14ac:dyDescent="0.25">
      <c r="A65" s="109">
        <f t="shared" ca="1" si="1"/>
        <v>47542</v>
      </c>
      <c r="B65" s="110">
        <f t="shared" ca="1" si="2"/>
        <v>0</v>
      </c>
      <c r="C65" s="115">
        <v>0</v>
      </c>
      <c r="D65" s="111">
        <f t="shared" ca="1" si="3"/>
        <v>0</v>
      </c>
      <c r="E65" s="111">
        <f t="shared" ca="1" si="4"/>
        <v>0</v>
      </c>
      <c r="F65" s="111">
        <f t="shared" ca="1" si="0"/>
        <v>0</v>
      </c>
      <c r="G65" s="112">
        <f ca="1">IF(ROUND(SUM(B65:C65,-F65),0)=0,0,IF($B$6="Yes",SUM($C$9:C65),SUM(B65:C65,-F65)))</f>
        <v>0</v>
      </c>
    </row>
    <row r="66" spans="1:7" ht="16.149999999999999" customHeight="1" x14ac:dyDescent="0.25">
      <c r="A66" s="109">
        <f t="shared" ca="1" si="1"/>
        <v>47573</v>
      </c>
      <c r="B66" s="110">
        <f t="shared" ca="1" si="2"/>
        <v>0</v>
      </c>
      <c r="C66" s="115">
        <v>0</v>
      </c>
      <c r="D66" s="111">
        <f t="shared" ca="1" si="3"/>
        <v>0</v>
      </c>
      <c r="E66" s="111">
        <f t="shared" ca="1" si="4"/>
        <v>0</v>
      </c>
      <c r="F66" s="111">
        <f t="shared" ca="1" si="0"/>
        <v>0</v>
      </c>
      <c r="G66" s="112">
        <f ca="1">IF(ROUND(SUM(B66:C66,-F66),0)=0,0,IF($B$6="Yes",SUM($C$9:C66),SUM(B66:C66,-F66)))</f>
        <v>0</v>
      </c>
    </row>
    <row r="67" spans="1:7" ht="16.149999999999999" customHeight="1" x14ac:dyDescent="0.25">
      <c r="A67" s="109">
        <f t="shared" ca="1" si="1"/>
        <v>47603</v>
      </c>
      <c r="B67" s="110">
        <f t="shared" ca="1" si="2"/>
        <v>0</v>
      </c>
      <c r="C67" s="115">
        <v>0</v>
      </c>
      <c r="D67" s="111">
        <f t="shared" ca="1" si="3"/>
        <v>0</v>
      </c>
      <c r="E67" s="111">
        <f t="shared" ca="1" si="4"/>
        <v>0</v>
      </c>
      <c r="F67" s="111">
        <f t="shared" ca="1" si="0"/>
        <v>0</v>
      </c>
      <c r="G67" s="112">
        <f ca="1">IF(ROUND(SUM(B67:C67,-F67),0)=0,0,IF($B$6="Yes",SUM($C$9:C67),SUM(B67:C67,-F67)))</f>
        <v>0</v>
      </c>
    </row>
    <row r="68" spans="1:7" ht="16.149999999999999" customHeight="1" x14ac:dyDescent="0.25">
      <c r="A68" s="109">
        <f t="shared" ca="1" si="1"/>
        <v>47634</v>
      </c>
      <c r="B68" s="110">
        <f t="shared" ca="1" si="2"/>
        <v>0</v>
      </c>
      <c r="C68" s="115">
        <v>0</v>
      </c>
      <c r="D68" s="111">
        <f t="shared" ca="1" si="3"/>
        <v>0</v>
      </c>
      <c r="E68" s="111">
        <f t="shared" ca="1" si="4"/>
        <v>0</v>
      </c>
      <c r="F68" s="111">
        <f t="shared" ca="1" si="0"/>
        <v>0</v>
      </c>
      <c r="G68" s="112">
        <f ca="1">IF(ROUND(SUM(B68:C68,-F68),0)=0,0,IF($B$6="Yes",SUM($C$9:C68),SUM(B68:C68,-F68)))</f>
        <v>0</v>
      </c>
    </row>
    <row r="69" spans="1:7" ht="16.149999999999999" customHeight="1" x14ac:dyDescent="0.25">
      <c r="A69" s="109">
        <f t="shared" ca="1" si="1"/>
        <v>47664</v>
      </c>
      <c r="B69" s="110">
        <f t="shared" ca="1" si="2"/>
        <v>0</v>
      </c>
      <c r="C69" s="115">
        <v>0</v>
      </c>
      <c r="D69" s="111">
        <f t="shared" ca="1" si="3"/>
        <v>0</v>
      </c>
      <c r="E69" s="111">
        <f t="shared" ca="1" si="4"/>
        <v>0</v>
      </c>
      <c r="F69" s="111">
        <f t="shared" ca="1" si="0"/>
        <v>0</v>
      </c>
      <c r="G69" s="112">
        <f ca="1">IF(ROUND(SUM(B69:C69,-F69),0)=0,0,IF($B$6="Yes",SUM($C$9:C69),SUM(B69:C69,-F69)))</f>
        <v>0</v>
      </c>
    </row>
    <row r="70" spans="1:7" ht="16.149999999999999" customHeight="1" x14ac:dyDescent="0.25">
      <c r="A70" s="109">
        <f t="shared" ca="1" si="1"/>
        <v>47695</v>
      </c>
      <c r="B70" s="110">
        <f t="shared" ca="1" si="2"/>
        <v>0</v>
      </c>
      <c r="C70" s="115">
        <v>0</v>
      </c>
      <c r="D70" s="111">
        <f t="shared" ca="1" si="3"/>
        <v>0</v>
      </c>
      <c r="E70" s="111">
        <f t="shared" ca="1" si="4"/>
        <v>0</v>
      </c>
      <c r="F70" s="111">
        <f t="shared" ca="1" si="0"/>
        <v>0</v>
      </c>
      <c r="G70" s="112">
        <f ca="1">IF(ROUND(SUM(B70:C70,-F70),0)=0,0,IF($B$6="Yes",SUM($C$9:C70),SUM(B70:C70,-F70)))</f>
        <v>0</v>
      </c>
    </row>
    <row r="71" spans="1:7" ht="16.149999999999999" customHeight="1" x14ac:dyDescent="0.25">
      <c r="A71" s="109">
        <f t="shared" ca="1" si="1"/>
        <v>47726</v>
      </c>
      <c r="B71" s="110">
        <f t="shared" ca="1" si="2"/>
        <v>0</v>
      </c>
      <c r="C71" s="115">
        <v>0</v>
      </c>
      <c r="D71" s="111">
        <f t="shared" ca="1" si="3"/>
        <v>0</v>
      </c>
      <c r="E71" s="111">
        <f t="shared" ca="1" si="4"/>
        <v>0</v>
      </c>
      <c r="F71" s="111">
        <f t="shared" ca="1" si="0"/>
        <v>0</v>
      </c>
      <c r="G71" s="112">
        <f ca="1">IF(ROUND(SUM(B71:C71,-F71),0)=0,0,IF($B$6="Yes",SUM($C$9:C71),SUM(B71:C71,-F71)))</f>
        <v>0</v>
      </c>
    </row>
    <row r="72" spans="1:7" ht="16.149999999999999" customHeight="1" x14ac:dyDescent="0.25">
      <c r="A72" s="109">
        <f t="shared" ca="1" si="1"/>
        <v>47756</v>
      </c>
      <c r="B72" s="110">
        <f t="shared" ca="1" si="2"/>
        <v>0</v>
      </c>
      <c r="C72" s="115">
        <v>0</v>
      </c>
      <c r="D72" s="111">
        <f t="shared" ca="1" si="3"/>
        <v>0</v>
      </c>
      <c r="E72" s="111">
        <f t="shared" ca="1" si="4"/>
        <v>0</v>
      </c>
      <c r="F72" s="111">
        <f t="shared" ca="1" si="0"/>
        <v>0</v>
      </c>
      <c r="G72" s="112">
        <f ca="1">IF(ROUND(SUM(B72:C72,-F72),0)=0,0,IF($B$6="Yes",SUM($C$9:C72),SUM(B72:C72,-F72)))</f>
        <v>0</v>
      </c>
    </row>
    <row r="73" spans="1:7" ht="16.149999999999999" customHeight="1" x14ac:dyDescent="0.25">
      <c r="A73" s="109">
        <f t="shared" ca="1" si="1"/>
        <v>47787</v>
      </c>
      <c r="B73" s="110">
        <f t="shared" ca="1" si="2"/>
        <v>0</v>
      </c>
      <c r="C73" s="115">
        <v>0</v>
      </c>
      <c r="D73" s="111">
        <f t="shared" ca="1" si="3"/>
        <v>0</v>
      </c>
      <c r="E73" s="111">
        <f t="shared" ca="1" si="4"/>
        <v>0</v>
      </c>
      <c r="F73" s="111">
        <f t="shared" ca="1" si="0"/>
        <v>0</v>
      </c>
      <c r="G73" s="112">
        <f ca="1">IF(ROUND(SUM(B73:C73,-F73),0)=0,0,IF($B$6="Yes",SUM($C$9:C73),SUM(B73:C73,-F73)))</f>
        <v>0</v>
      </c>
    </row>
    <row r="74" spans="1:7" ht="16.149999999999999" customHeight="1" x14ac:dyDescent="0.25">
      <c r="A74" s="109">
        <f t="shared" ca="1" si="1"/>
        <v>47817</v>
      </c>
      <c r="B74" s="110">
        <f t="shared" ca="1" si="2"/>
        <v>0</v>
      </c>
      <c r="C74" s="115">
        <v>0</v>
      </c>
      <c r="D74" s="111">
        <f t="shared" ca="1" si="3"/>
        <v>0</v>
      </c>
      <c r="E74" s="111">
        <f t="shared" ca="1" si="4"/>
        <v>0</v>
      </c>
      <c r="F74" s="111">
        <f t="shared" ref="F74:F137" ca="1" si="5">IF($B$6="Yes",0,D74-E74)</f>
        <v>0</v>
      </c>
      <c r="G74" s="112">
        <f ca="1">IF(ROUND(SUM(B74:C74,-F74),0)=0,0,IF($B$6="Yes",SUM($C$9:C74),SUM(B74:C74,-F74)))</f>
        <v>0</v>
      </c>
    </row>
    <row r="75" spans="1:7" ht="16.149999999999999" customHeight="1" x14ac:dyDescent="0.25">
      <c r="A75" s="109">
        <f t="shared" ref="A75:A125" ca="1" si="6">DATE(YEAR(A74),MONTH(A74)+2,0)</f>
        <v>47848</v>
      </c>
      <c r="B75" s="110">
        <f t="shared" ref="B75:B138" ca="1" si="7">G74</f>
        <v>0</v>
      </c>
      <c r="C75" s="115">
        <v>0</v>
      </c>
      <c r="D75" s="111">
        <f t="shared" ref="D75:D138" ca="1" si="8">IF($B$6="Yes",0,IF(ROW(C75)-ROW($C$9)&gt;$B$5*12,-PMT($B$4/12,$B$5*12,SUM(OFFSET(C75,0,0,-$B$5*12,1)),0,0),-PMT($B$4/12,$B$5*12,SUM(OFFSET(C75,0,0,ROW($C$8)-ROW(C75),1)),0,0)))</f>
        <v>0</v>
      </c>
      <c r="E75" s="111">
        <f t="shared" ref="E75:E138" ca="1" si="9">(G74+C75)*$B$4/12</f>
        <v>0</v>
      </c>
      <c r="F75" s="111">
        <f t="shared" ca="1" si="5"/>
        <v>0</v>
      </c>
      <c r="G75" s="112">
        <f ca="1">IF(ROUND(SUM(B75:C75,-F75),0)=0,0,IF($B$6="Yes",SUM($C$9:C75),SUM(B75:C75,-F75)))</f>
        <v>0</v>
      </c>
    </row>
    <row r="76" spans="1:7" ht="16.149999999999999" customHeight="1" x14ac:dyDescent="0.25">
      <c r="A76" s="109">
        <f t="shared" ca="1" si="6"/>
        <v>47879</v>
      </c>
      <c r="B76" s="110">
        <f t="shared" ca="1" si="7"/>
        <v>0</v>
      </c>
      <c r="C76" s="115">
        <v>0</v>
      </c>
      <c r="D76" s="111">
        <f t="shared" ca="1" si="8"/>
        <v>0</v>
      </c>
      <c r="E76" s="111">
        <f t="shared" ca="1" si="9"/>
        <v>0</v>
      </c>
      <c r="F76" s="111">
        <f t="shared" ca="1" si="5"/>
        <v>0</v>
      </c>
      <c r="G76" s="112">
        <f ca="1">IF(ROUND(SUM(B76:C76,-F76),0)=0,0,IF($B$6="Yes",SUM($C$9:C76),SUM(B76:C76,-F76)))</f>
        <v>0</v>
      </c>
    </row>
    <row r="77" spans="1:7" ht="16.149999999999999" customHeight="1" x14ac:dyDescent="0.25">
      <c r="A77" s="109">
        <f t="shared" ca="1" si="6"/>
        <v>47907</v>
      </c>
      <c r="B77" s="110">
        <f t="shared" ca="1" si="7"/>
        <v>0</v>
      </c>
      <c r="C77" s="115">
        <v>0</v>
      </c>
      <c r="D77" s="111">
        <f t="shared" ca="1" si="8"/>
        <v>0</v>
      </c>
      <c r="E77" s="111">
        <f t="shared" ca="1" si="9"/>
        <v>0</v>
      </c>
      <c r="F77" s="111">
        <f t="shared" ca="1" si="5"/>
        <v>0</v>
      </c>
      <c r="G77" s="112">
        <f ca="1">IF(ROUND(SUM(B77:C77,-F77),0)=0,0,IF($B$6="Yes",SUM($C$9:C77),SUM(B77:C77,-F77)))</f>
        <v>0</v>
      </c>
    </row>
    <row r="78" spans="1:7" ht="16.149999999999999" customHeight="1" x14ac:dyDescent="0.25">
      <c r="A78" s="109">
        <f t="shared" ca="1" si="6"/>
        <v>47938</v>
      </c>
      <c r="B78" s="110">
        <f t="shared" ca="1" si="7"/>
        <v>0</v>
      </c>
      <c r="C78" s="115">
        <v>0</v>
      </c>
      <c r="D78" s="111">
        <f t="shared" ca="1" si="8"/>
        <v>0</v>
      </c>
      <c r="E78" s="111">
        <f t="shared" ca="1" si="9"/>
        <v>0</v>
      </c>
      <c r="F78" s="111">
        <f t="shared" ca="1" si="5"/>
        <v>0</v>
      </c>
      <c r="G78" s="112">
        <f ca="1">IF(ROUND(SUM(B78:C78,-F78),0)=0,0,IF($B$6="Yes",SUM($C$9:C78),SUM(B78:C78,-F78)))</f>
        <v>0</v>
      </c>
    </row>
    <row r="79" spans="1:7" ht="16.149999999999999" customHeight="1" x14ac:dyDescent="0.25">
      <c r="A79" s="109">
        <f t="shared" ca="1" si="6"/>
        <v>47968</v>
      </c>
      <c r="B79" s="110">
        <f t="shared" ca="1" si="7"/>
        <v>0</v>
      </c>
      <c r="C79" s="115">
        <v>0</v>
      </c>
      <c r="D79" s="111">
        <f t="shared" ca="1" si="8"/>
        <v>0</v>
      </c>
      <c r="E79" s="111">
        <f t="shared" ca="1" si="9"/>
        <v>0</v>
      </c>
      <c r="F79" s="111">
        <f t="shared" ca="1" si="5"/>
        <v>0</v>
      </c>
      <c r="G79" s="112">
        <f ca="1">IF(ROUND(SUM(B79:C79,-F79),0)=0,0,IF($B$6="Yes",SUM($C$9:C79),SUM(B79:C79,-F79)))</f>
        <v>0</v>
      </c>
    </row>
    <row r="80" spans="1:7" ht="16.149999999999999" customHeight="1" x14ac:dyDescent="0.25">
      <c r="A80" s="109">
        <f t="shared" ca="1" si="6"/>
        <v>47999</v>
      </c>
      <c r="B80" s="110">
        <f t="shared" ca="1" si="7"/>
        <v>0</v>
      </c>
      <c r="C80" s="115">
        <v>0</v>
      </c>
      <c r="D80" s="111">
        <f t="shared" ca="1" si="8"/>
        <v>0</v>
      </c>
      <c r="E80" s="111">
        <f t="shared" ca="1" si="9"/>
        <v>0</v>
      </c>
      <c r="F80" s="111">
        <f t="shared" ca="1" si="5"/>
        <v>0</v>
      </c>
      <c r="G80" s="112">
        <f ca="1">IF(ROUND(SUM(B80:C80,-F80),0)=0,0,IF($B$6="Yes",SUM($C$9:C80),SUM(B80:C80,-F80)))</f>
        <v>0</v>
      </c>
    </row>
    <row r="81" spans="1:7" ht="16.149999999999999" customHeight="1" x14ac:dyDescent="0.25">
      <c r="A81" s="109">
        <f t="shared" ca="1" si="6"/>
        <v>48029</v>
      </c>
      <c r="B81" s="110">
        <f t="shared" ca="1" si="7"/>
        <v>0</v>
      </c>
      <c r="C81" s="115">
        <v>0</v>
      </c>
      <c r="D81" s="111">
        <f t="shared" ca="1" si="8"/>
        <v>0</v>
      </c>
      <c r="E81" s="111">
        <f t="shared" ca="1" si="9"/>
        <v>0</v>
      </c>
      <c r="F81" s="111">
        <f t="shared" ca="1" si="5"/>
        <v>0</v>
      </c>
      <c r="G81" s="112">
        <f ca="1">IF(ROUND(SUM(B81:C81,-F81),0)=0,0,IF($B$6="Yes",SUM($C$9:C81),SUM(B81:C81,-F81)))</f>
        <v>0</v>
      </c>
    </row>
    <row r="82" spans="1:7" ht="16.149999999999999" customHeight="1" x14ac:dyDescent="0.25">
      <c r="A82" s="109">
        <f t="shared" ca="1" si="6"/>
        <v>48060</v>
      </c>
      <c r="B82" s="110">
        <f t="shared" ca="1" si="7"/>
        <v>0</v>
      </c>
      <c r="C82" s="115">
        <v>0</v>
      </c>
      <c r="D82" s="111">
        <f t="shared" ca="1" si="8"/>
        <v>0</v>
      </c>
      <c r="E82" s="111">
        <f t="shared" ca="1" si="9"/>
        <v>0</v>
      </c>
      <c r="F82" s="111">
        <f t="shared" ca="1" si="5"/>
        <v>0</v>
      </c>
      <c r="G82" s="112">
        <f ca="1">IF(ROUND(SUM(B82:C82,-F82),0)=0,0,IF($B$6="Yes",SUM($C$9:C82),SUM(B82:C82,-F82)))</f>
        <v>0</v>
      </c>
    </row>
    <row r="83" spans="1:7" ht="16.149999999999999" customHeight="1" x14ac:dyDescent="0.25">
      <c r="A83" s="109">
        <f t="shared" ca="1" si="6"/>
        <v>48091</v>
      </c>
      <c r="B83" s="110">
        <f t="shared" ca="1" si="7"/>
        <v>0</v>
      </c>
      <c r="C83" s="115">
        <v>0</v>
      </c>
      <c r="D83" s="111">
        <f t="shared" ca="1" si="8"/>
        <v>0</v>
      </c>
      <c r="E83" s="111">
        <f t="shared" ca="1" si="9"/>
        <v>0</v>
      </c>
      <c r="F83" s="111">
        <f t="shared" ca="1" si="5"/>
        <v>0</v>
      </c>
      <c r="G83" s="112">
        <f ca="1">IF(ROUND(SUM(B83:C83,-F83),0)=0,0,IF($B$6="Yes",SUM($C$9:C83),SUM(B83:C83,-F83)))</f>
        <v>0</v>
      </c>
    </row>
    <row r="84" spans="1:7" ht="16.149999999999999" customHeight="1" x14ac:dyDescent="0.25">
      <c r="A84" s="109">
        <f t="shared" ca="1" si="6"/>
        <v>48121</v>
      </c>
      <c r="B84" s="110">
        <f t="shared" ca="1" si="7"/>
        <v>0</v>
      </c>
      <c r="C84" s="115">
        <v>0</v>
      </c>
      <c r="D84" s="111">
        <f t="shared" ca="1" si="8"/>
        <v>0</v>
      </c>
      <c r="E84" s="111">
        <f t="shared" ca="1" si="9"/>
        <v>0</v>
      </c>
      <c r="F84" s="111">
        <f t="shared" ca="1" si="5"/>
        <v>0</v>
      </c>
      <c r="G84" s="112">
        <f ca="1">IF(ROUND(SUM(B84:C84,-F84),0)=0,0,IF($B$6="Yes",SUM($C$9:C84),SUM(B84:C84,-F84)))</f>
        <v>0</v>
      </c>
    </row>
    <row r="85" spans="1:7" ht="16.149999999999999" customHeight="1" x14ac:dyDescent="0.25">
      <c r="A85" s="109">
        <f t="shared" ca="1" si="6"/>
        <v>48152</v>
      </c>
      <c r="B85" s="110">
        <f t="shared" ca="1" si="7"/>
        <v>0</v>
      </c>
      <c r="C85" s="115">
        <v>0</v>
      </c>
      <c r="D85" s="111">
        <f t="shared" ca="1" si="8"/>
        <v>0</v>
      </c>
      <c r="E85" s="111">
        <f t="shared" ca="1" si="9"/>
        <v>0</v>
      </c>
      <c r="F85" s="111">
        <f t="shared" ca="1" si="5"/>
        <v>0</v>
      </c>
      <c r="G85" s="112">
        <f ca="1">IF(ROUND(SUM(B85:C85,-F85),0)=0,0,IF($B$6="Yes",SUM($C$9:C85),SUM(B85:C85,-F85)))</f>
        <v>0</v>
      </c>
    </row>
    <row r="86" spans="1:7" ht="16.149999999999999" customHeight="1" x14ac:dyDescent="0.25">
      <c r="A86" s="109">
        <f t="shared" ca="1" si="6"/>
        <v>48182</v>
      </c>
      <c r="B86" s="110">
        <f t="shared" ca="1" si="7"/>
        <v>0</v>
      </c>
      <c r="C86" s="115">
        <v>0</v>
      </c>
      <c r="D86" s="111">
        <f t="shared" ca="1" si="8"/>
        <v>0</v>
      </c>
      <c r="E86" s="111">
        <f t="shared" ca="1" si="9"/>
        <v>0</v>
      </c>
      <c r="F86" s="111">
        <f t="shared" ca="1" si="5"/>
        <v>0</v>
      </c>
      <c r="G86" s="112">
        <f ca="1">IF(ROUND(SUM(B86:C86,-F86),0)=0,0,IF($B$6="Yes",SUM($C$9:C86),SUM(B86:C86,-F86)))</f>
        <v>0</v>
      </c>
    </row>
    <row r="87" spans="1:7" ht="16.149999999999999" customHeight="1" x14ac:dyDescent="0.25">
      <c r="A87" s="109">
        <f t="shared" ca="1" si="6"/>
        <v>48213</v>
      </c>
      <c r="B87" s="110">
        <f t="shared" ca="1" si="7"/>
        <v>0</v>
      </c>
      <c r="C87" s="115">
        <v>0</v>
      </c>
      <c r="D87" s="111">
        <f t="shared" ca="1" si="8"/>
        <v>0</v>
      </c>
      <c r="E87" s="111">
        <f t="shared" ca="1" si="9"/>
        <v>0</v>
      </c>
      <c r="F87" s="111">
        <f t="shared" ca="1" si="5"/>
        <v>0</v>
      </c>
      <c r="G87" s="112">
        <f ca="1">IF(ROUND(SUM(B87:C87,-F87),0)=0,0,IF($B$6="Yes",SUM($C$9:C87),SUM(B87:C87,-F87)))</f>
        <v>0</v>
      </c>
    </row>
    <row r="88" spans="1:7" ht="16.149999999999999" customHeight="1" x14ac:dyDescent="0.25">
      <c r="A88" s="109">
        <f t="shared" ca="1" si="6"/>
        <v>48244</v>
      </c>
      <c r="B88" s="110">
        <f t="shared" ca="1" si="7"/>
        <v>0</v>
      </c>
      <c r="C88" s="115">
        <v>0</v>
      </c>
      <c r="D88" s="111">
        <f t="shared" ca="1" si="8"/>
        <v>0</v>
      </c>
      <c r="E88" s="111">
        <f t="shared" ca="1" si="9"/>
        <v>0</v>
      </c>
      <c r="F88" s="111">
        <f t="shared" ca="1" si="5"/>
        <v>0</v>
      </c>
      <c r="G88" s="112">
        <f ca="1">IF(ROUND(SUM(B88:C88,-F88),0)=0,0,IF($B$6="Yes",SUM($C$9:C88),SUM(B88:C88,-F88)))</f>
        <v>0</v>
      </c>
    </row>
    <row r="89" spans="1:7" ht="16.149999999999999" customHeight="1" x14ac:dyDescent="0.25">
      <c r="A89" s="109">
        <f t="shared" ca="1" si="6"/>
        <v>48273</v>
      </c>
      <c r="B89" s="110">
        <f t="shared" ca="1" si="7"/>
        <v>0</v>
      </c>
      <c r="C89" s="115">
        <v>0</v>
      </c>
      <c r="D89" s="111">
        <f t="shared" ca="1" si="8"/>
        <v>0</v>
      </c>
      <c r="E89" s="111">
        <f t="shared" ca="1" si="9"/>
        <v>0</v>
      </c>
      <c r="F89" s="111">
        <f t="shared" ca="1" si="5"/>
        <v>0</v>
      </c>
      <c r="G89" s="112">
        <f ca="1">IF(ROUND(SUM(B89:C89,-F89),0)=0,0,IF($B$6="Yes",SUM($C$9:C89),SUM(B89:C89,-F89)))</f>
        <v>0</v>
      </c>
    </row>
    <row r="90" spans="1:7" ht="16.149999999999999" customHeight="1" x14ac:dyDescent="0.25">
      <c r="A90" s="109">
        <f t="shared" ca="1" si="6"/>
        <v>48304</v>
      </c>
      <c r="B90" s="110">
        <f t="shared" ca="1" si="7"/>
        <v>0</v>
      </c>
      <c r="C90" s="115">
        <v>0</v>
      </c>
      <c r="D90" s="111">
        <f t="shared" ca="1" si="8"/>
        <v>0</v>
      </c>
      <c r="E90" s="111">
        <f t="shared" ca="1" si="9"/>
        <v>0</v>
      </c>
      <c r="F90" s="111">
        <f t="shared" ca="1" si="5"/>
        <v>0</v>
      </c>
      <c r="G90" s="112">
        <f ca="1">IF(ROUND(SUM(B90:C90,-F90),0)=0,0,IF($B$6="Yes",SUM($C$9:C90),SUM(B90:C90,-F90)))</f>
        <v>0</v>
      </c>
    </row>
    <row r="91" spans="1:7" ht="16.149999999999999" customHeight="1" x14ac:dyDescent="0.25">
      <c r="A91" s="109">
        <f t="shared" ca="1" si="6"/>
        <v>48334</v>
      </c>
      <c r="B91" s="110">
        <f t="shared" ca="1" si="7"/>
        <v>0</v>
      </c>
      <c r="C91" s="115">
        <v>0</v>
      </c>
      <c r="D91" s="111">
        <f t="shared" ca="1" si="8"/>
        <v>0</v>
      </c>
      <c r="E91" s="111">
        <f t="shared" ca="1" si="9"/>
        <v>0</v>
      </c>
      <c r="F91" s="111">
        <f t="shared" ca="1" si="5"/>
        <v>0</v>
      </c>
      <c r="G91" s="112">
        <f ca="1">IF(ROUND(SUM(B91:C91,-F91),0)=0,0,IF($B$6="Yes",SUM($C$9:C91),SUM(B91:C91,-F91)))</f>
        <v>0</v>
      </c>
    </row>
    <row r="92" spans="1:7" ht="16.149999999999999" customHeight="1" x14ac:dyDescent="0.25">
      <c r="A92" s="109">
        <f t="shared" ca="1" si="6"/>
        <v>48365</v>
      </c>
      <c r="B92" s="110">
        <f t="shared" ca="1" si="7"/>
        <v>0</v>
      </c>
      <c r="C92" s="115">
        <v>0</v>
      </c>
      <c r="D92" s="111">
        <f t="shared" ca="1" si="8"/>
        <v>0</v>
      </c>
      <c r="E92" s="111">
        <f t="shared" ca="1" si="9"/>
        <v>0</v>
      </c>
      <c r="F92" s="111">
        <f t="shared" ca="1" si="5"/>
        <v>0</v>
      </c>
      <c r="G92" s="112">
        <f ca="1">IF(ROUND(SUM(B92:C92,-F92),0)=0,0,IF($B$6="Yes",SUM($C$9:C92),SUM(B92:C92,-F92)))</f>
        <v>0</v>
      </c>
    </row>
    <row r="93" spans="1:7" ht="16.149999999999999" customHeight="1" x14ac:dyDescent="0.25">
      <c r="A93" s="109">
        <f t="shared" ca="1" si="6"/>
        <v>48395</v>
      </c>
      <c r="B93" s="110">
        <f t="shared" ca="1" si="7"/>
        <v>0</v>
      </c>
      <c r="C93" s="115">
        <v>0</v>
      </c>
      <c r="D93" s="111">
        <f t="shared" ca="1" si="8"/>
        <v>0</v>
      </c>
      <c r="E93" s="111">
        <f t="shared" ca="1" si="9"/>
        <v>0</v>
      </c>
      <c r="F93" s="111">
        <f t="shared" ca="1" si="5"/>
        <v>0</v>
      </c>
      <c r="G93" s="112">
        <f ca="1">IF(ROUND(SUM(B93:C93,-F93),0)=0,0,IF($B$6="Yes",SUM($C$9:C93),SUM(B93:C93,-F93)))</f>
        <v>0</v>
      </c>
    </row>
    <row r="94" spans="1:7" ht="16.149999999999999" customHeight="1" x14ac:dyDescent="0.25">
      <c r="A94" s="109">
        <f t="shared" ca="1" si="6"/>
        <v>48426</v>
      </c>
      <c r="B94" s="110">
        <f t="shared" ca="1" si="7"/>
        <v>0</v>
      </c>
      <c r="C94" s="115">
        <v>0</v>
      </c>
      <c r="D94" s="111">
        <f t="shared" ca="1" si="8"/>
        <v>0</v>
      </c>
      <c r="E94" s="111">
        <f t="shared" ca="1" si="9"/>
        <v>0</v>
      </c>
      <c r="F94" s="111">
        <f t="shared" ca="1" si="5"/>
        <v>0</v>
      </c>
      <c r="G94" s="112">
        <f ca="1">IF(ROUND(SUM(B94:C94,-F94),0)=0,0,IF($B$6="Yes",SUM($C$9:C94),SUM(B94:C94,-F94)))</f>
        <v>0</v>
      </c>
    </row>
    <row r="95" spans="1:7" ht="16.149999999999999" customHeight="1" x14ac:dyDescent="0.25">
      <c r="A95" s="109">
        <f t="shared" ca="1" si="6"/>
        <v>48457</v>
      </c>
      <c r="B95" s="110">
        <f t="shared" ca="1" si="7"/>
        <v>0</v>
      </c>
      <c r="C95" s="115">
        <v>0</v>
      </c>
      <c r="D95" s="111">
        <f t="shared" ca="1" si="8"/>
        <v>0</v>
      </c>
      <c r="E95" s="111">
        <f t="shared" ca="1" si="9"/>
        <v>0</v>
      </c>
      <c r="F95" s="111">
        <f t="shared" ca="1" si="5"/>
        <v>0</v>
      </c>
      <c r="G95" s="112">
        <f ca="1">IF(ROUND(SUM(B95:C95,-F95),0)=0,0,IF($B$6="Yes",SUM($C$9:C95),SUM(B95:C95,-F95)))</f>
        <v>0</v>
      </c>
    </row>
    <row r="96" spans="1:7" ht="16.149999999999999" customHeight="1" x14ac:dyDescent="0.25">
      <c r="A96" s="109">
        <f t="shared" ca="1" si="6"/>
        <v>48487</v>
      </c>
      <c r="B96" s="110">
        <f t="shared" ca="1" si="7"/>
        <v>0</v>
      </c>
      <c r="C96" s="115">
        <v>0</v>
      </c>
      <c r="D96" s="111">
        <f t="shared" ca="1" si="8"/>
        <v>0</v>
      </c>
      <c r="E96" s="111">
        <f t="shared" ca="1" si="9"/>
        <v>0</v>
      </c>
      <c r="F96" s="111">
        <f t="shared" ca="1" si="5"/>
        <v>0</v>
      </c>
      <c r="G96" s="112">
        <f ca="1">IF(ROUND(SUM(B96:C96,-F96),0)=0,0,IF($B$6="Yes",SUM($C$9:C96),SUM(B96:C96,-F96)))</f>
        <v>0</v>
      </c>
    </row>
    <row r="97" spans="1:7" ht="16.149999999999999" customHeight="1" x14ac:dyDescent="0.25">
      <c r="A97" s="109">
        <f t="shared" ca="1" si="6"/>
        <v>48518</v>
      </c>
      <c r="B97" s="110">
        <f t="shared" ca="1" si="7"/>
        <v>0</v>
      </c>
      <c r="C97" s="115">
        <v>0</v>
      </c>
      <c r="D97" s="111">
        <f t="shared" ca="1" si="8"/>
        <v>0</v>
      </c>
      <c r="E97" s="111">
        <f t="shared" ca="1" si="9"/>
        <v>0</v>
      </c>
      <c r="F97" s="111">
        <f t="shared" ca="1" si="5"/>
        <v>0</v>
      </c>
      <c r="G97" s="112">
        <f ca="1">IF(ROUND(SUM(B97:C97,-F97),0)=0,0,IF($B$6="Yes",SUM($C$9:C97),SUM(B97:C97,-F97)))</f>
        <v>0</v>
      </c>
    </row>
    <row r="98" spans="1:7" ht="16.149999999999999" customHeight="1" x14ac:dyDescent="0.25">
      <c r="A98" s="109">
        <f t="shared" ca="1" si="6"/>
        <v>48548</v>
      </c>
      <c r="B98" s="110">
        <f t="shared" ca="1" si="7"/>
        <v>0</v>
      </c>
      <c r="C98" s="115">
        <v>0</v>
      </c>
      <c r="D98" s="111">
        <f t="shared" ca="1" si="8"/>
        <v>0</v>
      </c>
      <c r="E98" s="111">
        <f t="shared" ca="1" si="9"/>
        <v>0</v>
      </c>
      <c r="F98" s="111">
        <f t="shared" ca="1" si="5"/>
        <v>0</v>
      </c>
      <c r="G98" s="112">
        <f ca="1">IF(ROUND(SUM(B98:C98,-F98),0)=0,0,IF($B$6="Yes",SUM($C$9:C98),SUM(B98:C98,-F98)))</f>
        <v>0</v>
      </c>
    </row>
    <row r="99" spans="1:7" ht="16.149999999999999" customHeight="1" x14ac:dyDescent="0.25">
      <c r="A99" s="109">
        <f t="shared" ca="1" si="6"/>
        <v>48579</v>
      </c>
      <c r="B99" s="110">
        <f t="shared" ca="1" si="7"/>
        <v>0</v>
      </c>
      <c r="C99" s="115">
        <v>0</v>
      </c>
      <c r="D99" s="111">
        <f t="shared" ca="1" si="8"/>
        <v>0</v>
      </c>
      <c r="E99" s="111">
        <f t="shared" ca="1" si="9"/>
        <v>0</v>
      </c>
      <c r="F99" s="111">
        <f t="shared" ca="1" si="5"/>
        <v>0</v>
      </c>
      <c r="G99" s="112">
        <f ca="1">IF(ROUND(SUM(B99:C99,-F99),0)=0,0,IF($B$6="Yes",SUM($C$9:C99),SUM(B99:C99,-F99)))</f>
        <v>0</v>
      </c>
    </row>
    <row r="100" spans="1:7" ht="16.149999999999999" customHeight="1" x14ac:dyDescent="0.25">
      <c r="A100" s="109">
        <f t="shared" ca="1" si="6"/>
        <v>48610</v>
      </c>
      <c r="B100" s="110">
        <f t="shared" ca="1" si="7"/>
        <v>0</v>
      </c>
      <c r="C100" s="115">
        <v>0</v>
      </c>
      <c r="D100" s="111">
        <f t="shared" ca="1" si="8"/>
        <v>0</v>
      </c>
      <c r="E100" s="111">
        <f t="shared" ca="1" si="9"/>
        <v>0</v>
      </c>
      <c r="F100" s="111">
        <f t="shared" ca="1" si="5"/>
        <v>0</v>
      </c>
      <c r="G100" s="112">
        <f ca="1">IF(ROUND(SUM(B100:C100,-F100),0)=0,0,IF($B$6="Yes",SUM($C$9:C100),SUM(B100:C100,-F100)))</f>
        <v>0</v>
      </c>
    </row>
    <row r="101" spans="1:7" ht="16.149999999999999" customHeight="1" x14ac:dyDescent="0.25">
      <c r="A101" s="109">
        <f t="shared" ca="1" si="6"/>
        <v>48638</v>
      </c>
      <c r="B101" s="110">
        <f t="shared" ca="1" si="7"/>
        <v>0</v>
      </c>
      <c r="C101" s="115">
        <v>0</v>
      </c>
      <c r="D101" s="111">
        <f t="shared" ca="1" si="8"/>
        <v>0</v>
      </c>
      <c r="E101" s="111">
        <f t="shared" ca="1" si="9"/>
        <v>0</v>
      </c>
      <c r="F101" s="111">
        <f t="shared" ca="1" si="5"/>
        <v>0</v>
      </c>
      <c r="G101" s="112">
        <f ca="1">IF(ROUND(SUM(B101:C101,-F101),0)=0,0,IF($B$6="Yes",SUM($C$9:C101),SUM(B101:C101,-F101)))</f>
        <v>0</v>
      </c>
    </row>
    <row r="102" spans="1:7" ht="16.149999999999999" customHeight="1" x14ac:dyDescent="0.25">
      <c r="A102" s="109">
        <f t="shared" ca="1" si="6"/>
        <v>48669</v>
      </c>
      <c r="B102" s="110">
        <f t="shared" ca="1" si="7"/>
        <v>0</v>
      </c>
      <c r="C102" s="115">
        <v>0</v>
      </c>
      <c r="D102" s="111">
        <f t="shared" ca="1" si="8"/>
        <v>0</v>
      </c>
      <c r="E102" s="111">
        <f t="shared" ca="1" si="9"/>
        <v>0</v>
      </c>
      <c r="F102" s="111">
        <f t="shared" ca="1" si="5"/>
        <v>0</v>
      </c>
      <c r="G102" s="112">
        <f ca="1">IF(ROUND(SUM(B102:C102,-F102),0)=0,0,IF($B$6="Yes",SUM($C$9:C102),SUM(B102:C102,-F102)))</f>
        <v>0</v>
      </c>
    </row>
    <row r="103" spans="1:7" ht="16.149999999999999" customHeight="1" x14ac:dyDescent="0.25">
      <c r="A103" s="109">
        <f t="shared" ca="1" si="6"/>
        <v>48699</v>
      </c>
      <c r="B103" s="110">
        <f t="shared" ca="1" si="7"/>
        <v>0</v>
      </c>
      <c r="C103" s="115">
        <v>0</v>
      </c>
      <c r="D103" s="111">
        <f t="shared" ca="1" si="8"/>
        <v>0</v>
      </c>
      <c r="E103" s="111">
        <f t="shared" ca="1" si="9"/>
        <v>0</v>
      </c>
      <c r="F103" s="111">
        <f t="shared" ca="1" si="5"/>
        <v>0</v>
      </c>
      <c r="G103" s="112">
        <f ca="1">IF(ROUND(SUM(B103:C103,-F103),0)=0,0,IF($B$6="Yes",SUM($C$9:C103),SUM(B103:C103,-F103)))</f>
        <v>0</v>
      </c>
    </row>
    <row r="104" spans="1:7" ht="16.149999999999999" customHeight="1" x14ac:dyDescent="0.25">
      <c r="A104" s="109">
        <f t="shared" ca="1" si="6"/>
        <v>48730</v>
      </c>
      <c r="B104" s="110">
        <f t="shared" ca="1" si="7"/>
        <v>0</v>
      </c>
      <c r="C104" s="115">
        <v>0</v>
      </c>
      <c r="D104" s="111">
        <f t="shared" ca="1" si="8"/>
        <v>0</v>
      </c>
      <c r="E104" s="111">
        <f t="shared" ca="1" si="9"/>
        <v>0</v>
      </c>
      <c r="F104" s="111">
        <f t="shared" ca="1" si="5"/>
        <v>0</v>
      </c>
      <c r="G104" s="112">
        <f ca="1">IF(ROUND(SUM(B104:C104,-F104),0)=0,0,IF($B$6="Yes",SUM($C$9:C104),SUM(B104:C104,-F104)))</f>
        <v>0</v>
      </c>
    </row>
    <row r="105" spans="1:7" ht="16.149999999999999" customHeight="1" x14ac:dyDescent="0.25">
      <c r="A105" s="109">
        <f t="shared" ca="1" si="6"/>
        <v>48760</v>
      </c>
      <c r="B105" s="110">
        <f t="shared" ca="1" si="7"/>
        <v>0</v>
      </c>
      <c r="C105" s="115">
        <v>0</v>
      </c>
      <c r="D105" s="111">
        <f t="shared" ca="1" si="8"/>
        <v>0</v>
      </c>
      <c r="E105" s="111">
        <f t="shared" ca="1" si="9"/>
        <v>0</v>
      </c>
      <c r="F105" s="111">
        <f t="shared" ca="1" si="5"/>
        <v>0</v>
      </c>
      <c r="G105" s="112">
        <f ca="1">IF(ROUND(SUM(B105:C105,-F105),0)=0,0,IF($B$6="Yes",SUM($C$9:C105),SUM(B105:C105,-F105)))</f>
        <v>0</v>
      </c>
    </row>
    <row r="106" spans="1:7" ht="16.149999999999999" customHeight="1" x14ac:dyDescent="0.25">
      <c r="A106" s="109">
        <f t="shared" ca="1" si="6"/>
        <v>48791</v>
      </c>
      <c r="B106" s="110">
        <f t="shared" ca="1" si="7"/>
        <v>0</v>
      </c>
      <c r="C106" s="115">
        <v>0</v>
      </c>
      <c r="D106" s="111">
        <f t="shared" ca="1" si="8"/>
        <v>0</v>
      </c>
      <c r="E106" s="111">
        <f t="shared" ca="1" si="9"/>
        <v>0</v>
      </c>
      <c r="F106" s="111">
        <f t="shared" ca="1" si="5"/>
        <v>0</v>
      </c>
      <c r="G106" s="112">
        <f ca="1">IF(ROUND(SUM(B106:C106,-F106),0)=0,0,IF($B$6="Yes",SUM($C$9:C106),SUM(B106:C106,-F106)))</f>
        <v>0</v>
      </c>
    </row>
    <row r="107" spans="1:7" ht="16.149999999999999" customHeight="1" x14ac:dyDescent="0.25">
      <c r="A107" s="109">
        <f t="shared" ca="1" si="6"/>
        <v>48822</v>
      </c>
      <c r="B107" s="110">
        <f t="shared" ca="1" si="7"/>
        <v>0</v>
      </c>
      <c r="C107" s="115">
        <v>0</v>
      </c>
      <c r="D107" s="111">
        <f t="shared" ca="1" si="8"/>
        <v>0</v>
      </c>
      <c r="E107" s="111">
        <f t="shared" ca="1" si="9"/>
        <v>0</v>
      </c>
      <c r="F107" s="111">
        <f t="shared" ca="1" si="5"/>
        <v>0</v>
      </c>
      <c r="G107" s="112">
        <f ca="1">IF(ROUND(SUM(B107:C107,-F107),0)=0,0,IF($B$6="Yes",SUM($C$9:C107),SUM(B107:C107,-F107)))</f>
        <v>0</v>
      </c>
    </row>
    <row r="108" spans="1:7" ht="16.149999999999999" customHeight="1" x14ac:dyDescent="0.25">
      <c r="A108" s="109">
        <f t="shared" ca="1" si="6"/>
        <v>48852</v>
      </c>
      <c r="B108" s="110">
        <f t="shared" ca="1" si="7"/>
        <v>0</v>
      </c>
      <c r="C108" s="115">
        <v>0</v>
      </c>
      <c r="D108" s="111">
        <f t="shared" ca="1" si="8"/>
        <v>0</v>
      </c>
      <c r="E108" s="111">
        <f t="shared" ca="1" si="9"/>
        <v>0</v>
      </c>
      <c r="F108" s="111">
        <f t="shared" ca="1" si="5"/>
        <v>0</v>
      </c>
      <c r="G108" s="112">
        <f ca="1">IF(ROUND(SUM(B108:C108,-F108),0)=0,0,IF($B$6="Yes",SUM($C$9:C108),SUM(B108:C108,-F108)))</f>
        <v>0</v>
      </c>
    </row>
    <row r="109" spans="1:7" ht="16.149999999999999" customHeight="1" x14ac:dyDescent="0.25">
      <c r="A109" s="109">
        <f t="shared" ca="1" si="6"/>
        <v>48883</v>
      </c>
      <c r="B109" s="110">
        <f t="shared" ca="1" si="7"/>
        <v>0</v>
      </c>
      <c r="C109" s="115">
        <v>0</v>
      </c>
      <c r="D109" s="111">
        <f t="shared" ca="1" si="8"/>
        <v>0</v>
      </c>
      <c r="E109" s="111">
        <f t="shared" ca="1" si="9"/>
        <v>0</v>
      </c>
      <c r="F109" s="111">
        <f t="shared" ca="1" si="5"/>
        <v>0</v>
      </c>
      <c r="G109" s="112">
        <f ca="1">IF(ROUND(SUM(B109:C109,-F109),0)=0,0,IF($B$6="Yes",SUM($C$9:C109),SUM(B109:C109,-F109)))</f>
        <v>0</v>
      </c>
    </row>
    <row r="110" spans="1:7" ht="16.149999999999999" customHeight="1" x14ac:dyDescent="0.25">
      <c r="A110" s="109">
        <f t="shared" ca="1" si="6"/>
        <v>48913</v>
      </c>
      <c r="B110" s="110">
        <f t="shared" ca="1" si="7"/>
        <v>0</v>
      </c>
      <c r="C110" s="115">
        <v>0</v>
      </c>
      <c r="D110" s="111">
        <f t="shared" ca="1" si="8"/>
        <v>0</v>
      </c>
      <c r="E110" s="111">
        <f t="shared" ca="1" si="9"/>
        <v>0</v>
      </c>
      <c r="F110" s="111">
        <f t="shared" ca="1" si="5"/>
        <v>0</v>
      </c>
      <c r="G110" s="112">
        <f ca="1">IF(ROUND(SUM(B110:C110,-F110),0)=0,0,IF($B$6="Yes",SUM($C$9:C110),SUM(B110:C110,-F110)))</f>
        <v>0</v>
      </c>
    </row>
    <row r="111" spans="1:7" ht="16.149999999999999" customHeight="1" x14ac:dyDescent="0.25">
      <c r="A111" s="109">
        <f t="shared" ca="1" si="6"/>
        <v>48944</v>
      </c>
      <c r="B111" s="110">
        <f t="shared" ca="1" si="7"/>
        <v>0</v>
      </c>
      <c r="C111" s="115">
        <v>0</v>
      </c>
      <c r="D111" s="111">
        <f t="shared" ca="1" si="8"/>
        <v>0</v>
      </c>
      <c r="E111" s="111">
        <f t="shared" ca="1" si="9"/>
        <v>0</v>
      </c>
      <c r="F111" s="111">
        <f t="shared" ca="1" si="5"/>
        <v>0</v>
      </c>
      <c r="G111" s="112">
        <f ca="1">IF(ROUND(SUM(B111:C111,-F111),0)=0,0,IF($B$6="Yes",SUM($C$9:C111),SUM(B111:C111,-F111)))</f>
        <v>0</v>
      </c>
    </row>
    <row r="112" spans="1:7" ht="16.149999999999999" customHeight="1" x14ac:dyDescent="0.25">
      <c r="A112" s="109">
        <f t="shared" ca="1" si="6"/>
        <v>48975</v>
      </c>
      <c r="B112" s="110">
        <f t="shared" ca="1" si="7"/>
        <v>0</v>
      </c>
      <c r="C112" s="115">
        <v>0</v>
      </c>
      <c r="D112" s="111">
        <f t="shared" ca="1" si="8"/>
        <v>0</v>
      </c>
      <c r="E112" s="111">
        <f t="shared" ca="1" si="9"/>
        <v>0</v>
      </c>
      <c r="F112" s="111">
        <f t="shared" ca="1" si="5"/>
        <v>0</v>
      </c>
      <c r="G112" s="112">
        <f ca="1">IF(ROUND(SUM(B112:C112,-F112),0)=0,0,IF($B$6="Yes",SUM($C$9:C112),SUM(B112:C112,-F112)))</f>
        <v>0</v>
      </c>
    </row>
    <row r="113" spans="1:7" ht="16.149999999999999" customHeight="1" x14ac:dyDescent="0.25">
      <c r="A113" s="109">
        <f t="shared" ca="1" si="6"/>
        <v>49003</v>
      </c>
      <c r="B113" s="110">
        <f t="shared" ca="1" si="7"/>
        <v>0</v>
      </c>
      <c r="C113" s="115">
        <v>0</v>
      </c>
      <c r="D113" s="111">
        <f t="shared" ca="1" si="8"/>
        <v>0</v>
      </c>
      <c r="E113" s="111">
        <f t="shared" ca="1" si="9"/>
        <v>0</v>
      </c>
      <c r="F113" s="111">
        <f t="shared" ca="1" si="5"/>
        <v>0</v>
      </c>
      <c r="G113" s="112">
        <f ca="1">IF(ROUND(SUM(B113:C113,-F113),0)=0,0,IF($B$6="Yes",SUM($C$9:C113),SUM(B113:C113,-F113)))</f>
        <v>0</v>
      </c>
    </row>
    <row r="114" spans="1:7" ht="16.149999999999999" customHeight="1" x14ac:dyDescent="0.25">
      <c r="A114" s="109">
        <f t="shared" ca="1" si="6"/>
        <v>49034</v>
      </c>
      <c r="B114" s="110">
        <f t="shared" ca="1" si="7"/>
        <v>0</v>
      </c>
      <c r="C114" s="115">
        <v>0</v>
      </c>
      <c r="D114" s="111">
        <f t="shared" ca="1" si="8"/>
        <v>0</v>
      </c>
      <c r="E114" s="111">
        <f t="shared" ca="1" si="9"/>
        <v>0</v>
      </c>
      <c r="F114" s="111">
        <f t="shared" ca="1" si="5"/>
        <v>0</v>
      </c>
      <c r="G114" s="112">
        <f ca="1">IF(ROUND(SUM(B114:C114,-F114),0)=0,0,IF($B$6="Yes",SUM($C$9:C114),SUM(B114:C114,-F114)))</f>
        <v>0</v>
      </c>
    </row>
    <row r="115" spans="1:7" ht="16.149999999999999" customHeight="1" x14ac:dyDescent="0.25">
      <c r="A115" s="109">
        <f t="shared" ca="1" si="6"/>
        <v>49064</v>
      </c>
      <c r="B115" s="110">
        <f t="shared" ca="1" si="7"/>
        <v>0</v>
      </c>
      <c r="C115" s="115">
        <v>0</v>
      </c>
      <c r="D115" s="111">
        <f t="shared" ca="1" si="8"/>
        <v>0</v>
      </c>
      <c r="E115" s="111">
        <f t="shared" ca="1" si="9"/>
        <v>0</v>
      </c>
      <c r="F115" s="111">
        <f t="shared" ca="1" si="5"/>
        <v>0</v>
      </c>
      <c r="G115" s="112">
        <f ca="1">IF(ROUND(SUM(B115:C115,-F115),0)=0,0,IF($B$6="Yes",SUM($C$9:C115),SUM(B115:C115,-F115)))</f>
        <v>0</v>
      </c>
    </row>
    <row r="116" spans="1:7" ht="16.149999999999999" customHeight="1" x14ac:dyDescent="0.25">
      <c r="A116" s="109">
        <f t="shared" ca="1" si="6"/>
        <v>49095</v>
      </c>
      <c r="B116" s="110">
        <f t="shared" ca="1" si="7"/>
        <v>0</v>
      </c>
      <c r="C116" s="115">
        <v>0</v>
      </c>
      <c r="D116" s="111">
        <f t="shared" ca="1" si="8"/>
        <v>0</v>
      </c>
      <c r="E116" s="111">
        <f t="shared" ca="1" si="9"/>
        <v>0</v>
      </c>
      <c r="F116" s="111">
        <f t="shared" ca="1" si="5"/>
        <v>0</v>
      </c>
      <c r="G116" s="112">
        <f ca="1">IF(ROUND(SUM(B116:C116,-F116),0)=0,0,IF($B$6="Yes",SUM($C$9:C116),SUM(B116:C116,-F116)))</f>
        <v>0</v>
      </c>
    </row>
    <row r="117" spans="1:7" ht="16.149999999999999" customHeight="1" x14ac:dyDescent="0.25">
      <c r="A117" s="109">
        <f t="shared" ca="1" si="6"/>
        <v>49125</v>
      </c>
      <c r="B117" s="110">
        <f t="shared" ca="1" si="7"/>
        <v>0</v>
      </c>
      <c r="C117" s="115">
        <v>0</v>
      </c>
      <c r="D117" s="111">
        <f t="shared" ca="1" si="8"/>
        <v>0</v>
      </c>
      <c r="E117" s="111">
        <f t="shared" ca="1" si="9"/>
        <v>0</v>
      </c>
      <c r="F117" s="111">
        <f t="shared" ca="1" si="5"/>
        <v>0</v>
      </c>
      <c r="G117" s="112">
        <f ca="1">IF(ROUND(SUM(B117:C117,-F117),0)=0,0,IF($B$6="Yes",SUM($C$9:C117),SUM(B117:C117,-F117)))</f>
        <v>0</v>
      </c>
    </row>
    <row r="118" spans="1:7" ht="16.149999999999999" customHeight="1" x14ac:dyDescent="0.25">
      <c r="A118" s="109">
        <f t="shared" ca="1" si="6"/>
        <v>49156</v>
      </c>
      <c r="B118" s="110">
        <f t="shared" ca="1" si="7"/>
        <v>0</v>
      </c>
      <c r="C118" s="115">
        <v>0</v>
      </c>
      <c r="D118" s="111">
        <f t="shared" ca="1" si="8"/>
        <v>0</v>
      </c>
      <c r="E118" s="111">
        <f t="shared" ca="1" si="9"/>
        <v>0</v>
      </c>
      <c r="F118" s="111">
        <f t="shared" ca="1" si="5"/>
        <v>0</v>
      </c>
      <c r="G118" s="112">
        <f ca="1">IF(ROUND(SUM(B118:C118,-F118),0)=0,0,IF($B$6="Yes",SUM($C$9:C118),SUM(B118:C118,-F118)))</f>
        <v>0</v>
      </c>
    </row>
    <row r="119" spans="1:7" ht="16.149999999999999" customHeight="1" x14ac:dyDescent="0.25">
      <c r="A119" s="109">
        <f t="shared" ca="1" si="6"/>
        <v>49187</v>
      </c>
      <c r="B119" s="110">
        <f t="shared" ca="1" si="7"/>
        <v>0</v>
      </c>
      <c r="C119" s="115">
        <v>0</v>
      </c>
      <c r="D119" s="111">
        <f t="shared" ca="1" si="8"/>
        <v>0</v>
      </c>
      <c r="E119" s="111">
        <f t="shared" ca="1" si="9"/>
        <v>0</v>
      </c>
      <c r="F119" s="111">
        <f t="shared" ca="1" si="5"/>
        <v>0</v>
      </c>
      <c r="G119" s="112">
        <f ca="1">IF(ROUND(SUM(B119:C119,-F119),0)=0,0,IF($B$6="Yes",SUM($C$9:C119),SUM(B119:C119,-F119)))</f>
        <v>0</v>
      </c>
    </row>
    <row r="120" spans="1:7" ht="16.149999999999999" customHeight="1" x14ac:dyDescent="0.25">
      <c r="A120" s="109">
        <f t="shared" ca="1" si="6"/>
        <v>49217</v>
      </c>
      <c r="B120" s="110">
        <f t="shared" ca="1" si="7"/>
        <v>0</v>
      </c>
      <c r="C120" s="115">
        <v>0</v>
      </c>
      <c r="D120" s="111">
        <f t="shared" ca="1" si="8"/>
        <v>0</v>
      </c>
      <c r="E120" s="111">
        <f t="shared" ca="1" si="9"/>
        <v>0</v>
      </c>
      <c r="F120" s="111">
        <f t="shared" ca="1" si="5"/>
        <v>0</v>
      </c>
      <c r="G120" s="112">
        <f ca="1">IF(ROUND(SUM(B120:C120,-F120),0)=0,0,IF($B$6="Yes",SUM($C$9:C120),SUM(B120:C120,-F120)))</f>
        <v>0</v>
      </c>
    </row>
    <row r="121" spans="1:7" ht="16.149999999999999" customHeight="1" x14ac:dyDescent="0.25">
      <c r="A121" s="109">
        <f t="shared" ca="1" si="6"/>
        <v>49248</v>
      </c>
      <c r="B121" s="110">
        <f t="shared" ca="1" si="7"/>
        <v>0</v>
      </c>
      <c r="C121" s="115">
        <v>0</v>
      </c>
      <c r="D121" s="111">
        <f t="shared" ca="1" si="8"/>
        <v>0</v>
      </c>
      <c r="E121" s="111">
        <f t="shared" ca="1" si="9"/>
        <v>0</v>
      </c>
      <c r="F121" s="111">
        <f t="shared" ca="1" si="5"/>
        <v>0</v>
      </c>
      <c r="G121" s="112">
        <f ca="1">IF(ROUND(SUM(B121:C121,-F121),0)=0,0,IF($B$6="Yes",SUM($C$9:C121),SUM(B121:C121,-F121)))</f>
        <v>0</v>
      </c>
    </row>
    <row r="122" spans="1:7" ht="16.149999999999999" customHeight="1" x14ac:dyDescent="0.25">
      <c r="A122" s="109">
        <f t="shared" ca="1" si="6"/>
        <v>49278</v>
      </c>
      <c r="B122" s="110">
        <f t="shared" ca="1" si="7"/>
        <v>0</v>
      </c>
      <c r="C122" s="115">
        <v>0</v>
      </c>
      <c r="D122" s="111">
        <f t="shared" ca="1" si="8"/>
        <v>0</v>
      </c>
      <c r="E122" s="111">
        <f t="shared" ca="1" si="9"/>
        <v>0</v>
      </c>
      <c r="F122" s="111">
        <f t="shared" ca="1" si="5"/>
        <v>0</v>
      </c>
      <c r="G122" s="112">
        <f ca="1">IF(ROUND(SUM(B122:C122,-F122),0)=0,0,IF($B$6="Yes",SUM($C$9:C122),SUM(B122:C122,-F122)))</f>
        <v>0</v>
      </c>
    </row>
    <row r="123" spans="1:7" ht="16.149999999999999" customHeight="1" x14ac:dyDescent="0.25">
      <c r="A123" s="109">
        <f t="shared" ca="1" si="6"/>
        <v>49309</v>
      </c>
      <c r="B123" s="110">
        <f t="shared" ca="1" si="7"/>
        <v>0</v>
      </c>
      <c r="C123" s="115">
        <v>0</v>
      </c>
      <c r="D123" s="111">
        <f t="shared" ca="1" si="8"/>
        <v>0</v>
      </c>
      <c r="E123" s="111">
        <f t="shared" ca="1" si="9"/>
        <v>0</v>
      </c>
      <c r="F123" s="111">
        <f t="shared" ca="1" si="5"/>
        <v>0</v>
      </c>
      <c r="G123" s="112">
        <f ca="1">IF(ROUND(SUM(B123:C123,-F123),0)=0,0,IF($B$6="Yes",SUM($C$9:C123),SUM(B123:C123,-F123)))</f>
        <v>0</v>
      </c>
    </row>
    <row r="124" spans="1:7" ht="16.149999999999999" customHeight="1" x14ac:dyDescent="0.25">
      <c r="A124" s="109">
        <f t="shared" ca="1" si="6"/>
        <v>49340</v>
      </c>
      <c r="B124" s="110">
        <f t="shared" ca="1" si="7"/>
        <v>0</v>
      </c>
      <c r="C124" s="115">
        <v>0</v>
      </c>
      <c r="D124" s="111">
        <f t="shared" ca="1" si="8"/>
        <v>0</v>
      </c>
      <c r="E124" s="111">
        <f t="shared" ca="1" si="9"/>
        <v>0</v>
      </c>
      <c r="F124" s="111">
        <f t="shared" ca="1" si="5"/>
        <v>0</v>
      </c>
      <c r="G124" s="112">
        <f ca="1">IF(ROUND(SUM(B124:C124,-F124),0)=0,0,IF($B$6="Yes",SUM($C$9:C124),SUM(B124:C124,-F124)))</f>
        <v>0</v>
      </c>
    </row>
    <row r="125" spans="1:7" ht="16.149999999999999" customHeight="1" x14ac:dyDescent="0.25">
      <c r="A125" s="109">
        <f t="shared" ca="1" si="6"/>
        <v>49368</v>
      </c>
      <c r="B125" s="110">
        <f t="shared" ca="1" si="7"/>
        <v>0</v>
      </c>
      <c r="C125" s="115">
        <v>0</v>
      </c>
      <c r="D125" s="111">
        <f t="shared" ca="1" si="8"/>
        <v>0</v>
      </c>
      <c r="E125" s="111">
        <f t="shared" ca="1" si="9"/>
        <v>0</v>
      </c>
      <c r="F125" s="111">
        <f t="shared" ca="1" si="5"/>
        <v>0</v>
      </c>
      <c r="G125" s="112">
        <f ca="1">IF(ROUND(SUM(B125:C125,-F125),0)=0,0,IF($B$6="Yes",SUM($C$9:C125),SUM(B125:C125,-F125)))</f>
        <v>0</v>
      </c>
    </row>
    <row r="126" spans="1:7" ht="16.149999999999999" customHeight="1" x14ac:dyDescent="0.25">
      <c r="A126" s="109">
        <f ca="1">DATE(YEAR(A125),MONTH(A125)+2,0)</f>
        <v>49399</v>
      </c>
      <c r="B126" s="110">
        <f t="shared" ca="1" si="7"/>
        <v>0</v>
      </c>
      <c r="C126" s="115">
        <v>0</v>
      </c>
      <c r="D126" s="111">
        <f t="shared" ca="1" si="8"/>
        <v>0</v>
      </c>
      <c r="E126" s="111">
        <f t="shared" ca="1" si="9"/>
        <v>0</v>
      </c>
      <c r="F126" s="111">
        <f t="shared" ca="1" si="5"/>
        <v>0</v>
      </c>
      <c r="G126" s="112">
        <f ca="1">IF(ROUND(SUM(B126:C126,-F126),0)=0,0,IF($B$6="Yes",SUM($C$9:C126),SUM(B126:C126,-F126)))</f>
        <v>0</v>
      </c>
    </row>
    <row r="127" spans="1:7" ht="16.149999999999999" customHeight="1" x14ac:dyDescent="0.25">
      <c r="A127" s="109">
        <f ca="1">DATE(YEAR(A126),MONTH(A126)+2,0)</f>
        <v>49429</v>
      </c>
      <c r="B127" s="110">
        <f t="shared" ca="1" si="7"/>
        <v>0</v>
      </c>
      <c r="C127" s="115">
        <v>0</v>
      </c>
      <c r="D127" s="111">
        <f t="shared" ca="1" si="8"/>
        <v>0</v>
      </c>
      <c r="E127" s="111">
        <f t="shared" ca="1" si="9"/>
        <v>0</v>
      </c>
      <c r="F127" s="111">
        <f t="shared" ca="1" si="5"/>
        <v>0</v>
      </c>
      <c r="G127" s="112">
        <f ca="1">IF(ROUND(SUM(B127:C127,-F127),0)=0,0,IF($B$6="Yes",SUM($C$9:C127),SUM(B127:C127,-F127)))</f>
        <v>0</v>
      </c>
    </row>
    <row r="128" spans="1:7" ht="16.149999999999999" customHeight="1" x14ac:dyDescent="0.25">
      <c r="A128" s="109">
        <f ca="1">DATE(YEAR(A127),MONTH(A127)+2,0)</f>
        <v>49460</v>
      </c>
      <c r="B128" s="110">
        <f t="shared" ca="1" si="7"/>
        <v>0</v>
      </c>
      <c r="C128" s="115">
        <v>0</v>
      </c>
      <c r="D128" s="111">
        <f t="shared" ca="1" si="8"/>
        <v>0</v>
      </c>
      <c r="E128" s="111">
        <f t="shared" ca="1" si="9"/>
        <v>0</v>
      </c>
      <c r="F128" s="111">
        <f t="shared" ca="1" si="5"/>
        <v>0</v>
      </c>
      <c r="G128" s="112">
        <f ca="1">IF(ROUND(SUM(B128:C128,-F128),0)=0,0,IF($B$6="Yes",SUM($C$9:C128),SUM(B128:C128,-F128)))</f>
        <v>0</v>
      </c>
    </row>
    <row r="129" spans="1:7" ht="16.149999999999999" customHeight="1" x14ac:dyDescent="0.25">
      <c r="A129" s="109">
        <f t="shared" ref="A129:A165" ca="1" si="10">DATE(YEAR(A128),MONTH(A128)+2,0)</f>
        <v>49490</v>
      </c>
      <c r="B129" s="110">
        <f t="shared" ca="1" si="7"/>
        <v>0</v>
      </c>
      <c r="C129" s="115">
        <v>0</v>
      </c>
      <c r="D129" s="111">
        <f t="shared" ca="1" si="8"/>
        <v>0</v>
      </c>
      <c r="E129" s="111">
        <f t="shared" ca="1" si="9"/>
        <v>0</v>
      </c>
      <c r="F129" s="111">
        <f t="shared" ca="1" si="5"/>
        <v>0</v>
      </c>
      <c r="G129" s="112">
        <f ca="1">IF(ROUND(SUM(B129:C129,-F129),0)=0,0,IF($B$6="Yes",SUM($C$9:C129),SUM(B129:C129,-F129)))</f>
        <v>0</v>
      </c>
    </row>
    <row r="130" spans="1:7" ht="16.149999999999999" customHeight="1" x14ac:dyDescent="0.25">
      <c r="A130" s="109">
        <f t="shared" ca="1" si="10"/>
        <v>49521</v>
      </c>
      <c r="B130" s="110">
        <f t="shared" ca="1" si="7"/>
        <v>0</v>
      </c>
      <c r="C130" s="115">
        <v>0</v>
      </c>
      <c r="D130" s="111">
        <f t="shared" ca="1" si="8"/>
        <v>0</v>
      </c>
      <c r="E130" s="111">
        <f t="shared" ca="1" si="9"/>
        <v>0</v>
      </c>
      <c r="F130" s="111">
        <f t="shared" ca="1" si="5"/>
        <v>0</v>
      </c>
      <c r="G130" s="112">
        <f ca="1">IF(ROUND(SUM(B130:C130,-F130),0)=0,0,IF($B$6="Yes",SUM($C$9:C130),SUM(B130:C130,-F130)))</f>
        <v>0</v>
      </c>
    </row>
    <row r="131" spans="1:7" ht="16.149999999999999" customHeight="1" x14ac:dyDescent="0.25">
      <c r="A131" s="109">
        <f t="shared" ca="1" si="10"/>
        <v>49552</v>
      </c>
      <c r="B131" s="110">
        <f t="shared" ca="1" si="7"/>
        <v>0</v>
      </c>
      <c r="C131" s="115">
        <v>0</v>
      </c>
      <c r="D131" s="111">
        <f t="shared" ca="1" si="8"/>
        <v>0</v>
      </c>
      <c r="E131" s="111">
        <f t="shared" ca="1" si="9"/>
        <v>0</v>
      </c>
      <c r="F131" s="111">
        <f t="shared" ca="1" si="5"/>
        <v>0</v>
      </c>
      <c r="G131" s="112">
        <f ca="1">IF(ROUND(SUM(B131:C131,-F131),0)=0,0,IF($B$6="Yes",SUM($C$9:C131),SUM(B131:C131,-F131)))</f>
        <v>0</v>
      </c>
    </row>
    <row r="132" spans="1:7" ht="16.149999999999999" customHeight="1" x14ac:dyDescent="0.25">
      <c r="A132" s="109">
        <f t="shared" ca="1" si="10"/>
        <v>49582</v>
      </c>
      <c r="B132" s="110">
        <f t="shared" ca="1" si="7"/>
        <v>0</v>
      </c>
      <c r="C132" s="115">
        <v>0</v>
      </c>
      <c r="D132" s="111">
        <f t="shared" ca="1" si="8"/>
        <v>0</v>
      </c>
      <c r="E132" s="111">
        <f t="shared" ca="1" si="9"/>
        <v>0</v>
      </c>
      <c r="F132" s="111">
        <f t="shared" ca="1" si="5"/>
        <v>0</v>
      </c>
      <c r="G132" s="112">
        <f ca="1">IF(ROUND(SUM(B132:C132,-F132),0)=0,0,IF($B$6="Yes",SUM($C$9:C132),SUM(B132:C132,-F132)))</f>
        <v>0</v>
      </c>
    </row>
    <row r="133" spans="1:7" ht="16.149999999999999" customHeight="1" x14ac:dyDescent="0.25">
      <c r="A133" s="109">
        <f t="shared" ca="1" si="10"/>
        <v>49613</v>
      </c>
      <c r="B133" s="110">
        <f t="shared" ca="1" si="7"/>
        <v>0</v>
      </c>
      <c r="C133" s="115">
        <v>0</v>
      </c>
      <c r="D133" s="111">
        <f t="shared" ca="1" si="8"/>
        <v>0</v>
      </c>
      <c r="E133" s="111">
        <f t="shared" ca="1" si="9"/>
        <v>0</v>
      </c>
      <c r="F133" s="111">
        <f t="shared" ca="1" si="5"/>
        <v>0</v>
      </c>
      <c r="G133" s="112">
        <f ca="1">IF(ROUND(SUM(B133:C133,-F133),0)=0,0,IF($B$6="Yes",SUM($C$9:C133),SUM(B133:C133,-F133)))</f>
        <v>0</v>
      </c>
    </row>
    <row r="134" spans="1:7" ht="16.149999999999999" customHeight="1" x14ac:dyDescent="0.25">
      <c r="A134" s="109">
        <f t="shared" ca="1" si="10"/>
        <v>49643</v>
      </c>
      <c r="B134" s="110">
        <f t="shared" ca="1" si="7"/>
        <v>0</v>
      </c>
      <c r="C134" s="115">
        <v>0</v>
      </c>
      <c r="D134" s="111">
        <f t="shared" ca="1" si="8"/>
        <v>0</v>
      </c>
      <c r="E134" s="111">
        <f t="shared" ca="1" si="9"/>
        <v>0</v>
      </c>
      <c r="F134" s="111">
        <f t="shared" ca="1" si="5"/>
        <v>0</v>
      </c>
      <c r="G134" s="112">
        <f ca="1">IF(ROUND(SUM(B134:C134,-F134),0)=0,0,IF($B$6="Yes",SUM($C$9:C134),SUM(B134:C134,-F134)))</f>
        <v>0</v>
      </c>
    </row>
    <row r="135" spans="1:7" ht="16.149999999999999" customHeight="1" x14ac:dyDescent="0.25">
      <c r="A135" s="109">
        <f t="shared" ca="1" si="10"/>
        <v>49674</v>
      </c>
      <c r="B135" s="110">
        <f t="shared" ca="1" si="7"/>
        <v>0</v>
      </c>
      <c r="C135" s="115">
        <v>0</v>
      </c>
      <c r="D135" s="111">
        <f t="shared" ca="1" si="8"/>
        <v>0</v>
      </c>
      <c r="E135" s="111">
        <f t="shared" ca="1" si="9"/>
        <v>0</v>
      </c>
      <c r="F135" s="111">
        <f t="shared" ca="1" si="5"/>
        <v>0</v>
      </c>
      <c r="G135" s="112">
        <f ca="1">IF(ROUND(SUM(B135:C135,-F135),0)=0,0,IF($B$6="Yes",SUM($C$9:C135),SUM(B135:C135,-F135)))</f>
        <v>0</v>
      </c>
    </row>
    <row r="136" spans="1:7" ht="16.149999999999999" customHeight="1" x14ac:dyDescent="0.25">
      <c r="A136" s="109">
        <f t="shared" ca="1" si="10"/>
        <v>49705</v>
      </c>
      <c r="B136" s="110">
        <f t="shared" ca="1" si="7"/>
        <v>0</v>
      </c>
      <c r="C136" s="115">
        <v>0</v>
      </c>
      <c r="D136" s="111">
        <f t="shared" ca="1" si="8"/>
        <v>0</v>
      </c>
      <c r="E136" s="111">
        <f t="shared" ca="1" si="9"/>
        <v>0</v>
      </c>
      <c r="F136" s="111">
        <f t="shared" ca="1" si="5"/>
        <v>0</v>
      </c>
      <c r="G136" s="112">
        <f ca="1">IF(ROUND(SUM(B136:C136,-F136),0)=0,0,IF($B$6="Yes",SUM($C$9:C136),SUM(B136:C136,-F136)))</f>
        <v>0</v>
      </c>
    </row>
    <row r="137" spans="1:7" ht="16.149999999999999" customHeight="1" x14ac:dyDescent="0.25">
      <c r="A137" s="109">
        <f t="shared" ca="1" si="10"/>
        <v>49734</v>
      </c>
      <c r="B137" s="110">
        <f t="shared" ca="1" si="7"/>
        <v>0</v>
      </c>
      <c r="C137" s="115">
        <v>0</v>
      </c>
      <c r="D137" s="111">
        <f t="shared" ca="1" si="8"/>
        <v>0</v>
      </c>
      <c r="E137" s="111">
        <f t="shared" ca="1" si="9"/>
        <v>0</v>
      </c>
      <c r="F137" s="111">
        <f t="shared" ca="1" si="5"/>
        <v>0</v>
      </c>
      <c r="G137" s="112">
        <f ca="1">IF(ROUND(SUM(B137:C137,-F137),0)=0,0,IF($B$6="Yes",SUM($C$9:C137),SUM(B137:C137,-F137)))</f>
        <v>0</v>
      </c>
    </row>
    <row r="138" spans="1:7" ht="16.149999999999999" customHeight="1" x14ac:dyDescent="0.25">
      <c r="A138" s="109">
        <f t="shared" ca="1" si="10"/>
        <v>49765</v>
      </c>
      <c r="B138" s="110">
        <f t="shared" ca="1" si="7"/>
        <v>0</v>
      </c>
      <c r="C138" s="115">
        <v>0</v>
      </c>
      <c r="D138" s="111">
        <f t="shared" ca="1" si="8"/>
        <v>0</v>
      </c>
      <c r="E138" s="111">
        <f t="shared" ca="1" si="9"/>
        <v>0</v>
      </c>
      <c r="F138" s="111">
        <f t="shared" ref="F138:F165" ca="1" si="11">IF($B$6="Yes",0,D138-E138)</f>
        <v>0</v>
      </c>
      <c r="G138" s="112">
        <f ca="1">IF(ROUND(SUM(B138:C138,-F138),0)=0,0,IF($B$6="Yes",SUM($C$9:C138),SUM(B138:C138,-F138)))</f>
        <v>0</v>
      </c>
    </row>
    <row r="139" spans="1:7" ht="16.149999999999999" customHeight="1" x14ac:dyDescent="0.25">
      <c r="A139" s="109">
        <f t="shared" ca="1" si="10"/>
        <v>49795</v>
      </c>
      <c r="B139" s="110">
        <f t="shared" ref="B139:B165" ca="1" si="12">G138</f>
        <v>0</v>
      </c>
      <c r="C139" s="115">
        <v>0</v>
      </c>
      <c r="D139" s="111">
        <f t="shared" ref="D139:D165" ca="1" si="13">IF($B$6="Yes",0,IF(ROW(C139)-ROW($C$9)&gt;$B$5*12,-PMT($B$4/12,$B$5*12,SUM(OFFSET(C139,0,0,-$B$5*12,1)),0,0),-PMT($B$4/12,$B$5*12,SUM(OFFSET(C139,0,0,ROW($C$8)-ROW(C139),1)),0,0)))</f>
        <v>0</v>
      </c>
      <c r="E139" s="111">
        <f t="shared" ref="E139:E165" ca="1" si="14">(G138+C139)*$B$4/12</f>
        <v>0</v>
      </c>
      <c r="F139" s="111">
        <f t="shared" ca="1" si="11"/>
        <v>0</v>
      </c>
      <c r="G139" s="112">
        <f ca="1">IF(ROUND(SUM(B139:C139,-F139),0)=0,0,IF($B$6="Yes",SUM($C$9:C139),SUM(B139:C139,-F139)))</f>
        <v>0</v>
      </c>
    </row>
    <row r="140" spans="1:7" ht="16.149999999999999" customHeight="1" x14ac:dyDescent="0.25">
      <c r="A140" s="109">
        <f t="shared" ca="1" si="10"/>
        <v>49826</v>
      </c>
      <c r="B140" s="110">
        <f t="shared" ca="1" si="12"/>
        <v>0</v>
      </c>
      <c r="C140" s="115">
        <v>0</v>
      </c>
      <c r="D140" s="111">
        <f t="shared" ca="1" si="13"/>
        <v>0</v>
      </c>
      <c r="E140" s="111">
        <f t="shared" ca="1" si="14"/>
        <v>0</v>
      </c>
      <c r="F140" s="111">
        <f t="shared" ca="1" si="11"/>
        <v>0</v>
      </c>
      <c r="G140" s="112">
        <f ca="1">IF(ROUND(SUM(B140:C140,-F140),0)=0,0,IF($B$6="Yes",SUM($C$9:C140),SUM(B140:C140,-F140)))</f>
        <v>0</v>
      </c>
    </row>
    <row r="141" spans="1:7" ht="16.149999999999999" customHeight="1" x14ac:dyDescent="0.25">
      <c r="A141" s="109">
        <f t="shared" ca="1" si="10"/>
        <v>49856</v>
      </c>
      <c r="B141" s="110">
        <f t="shared" ca="1" si="12"/>
        <v>0</v>
      </c>
      <c r="C141" s="115">
        <v>0</v>
      </c>
      <c r="D141" s="111">
        <f t="shared" ca="1" si="13"/>
        <v>0</v>
      </c>
      <c r="E141" s="111">
        <f t="shared" ca="1" si="14"/>
        <v>0</v>
      </c>
      <c r="F141" s="111">
        <f t="shared" ca="1" si="11"/>
        <v>0</v>
      </c>
      <c r="G141" s="112">
        <f ca="1">IF(ROUND(SUM(B141:C141,-F141),0)=0,0,IF($B$6="Yes",SUM($C$9:C141),SUM(B141:C141,-F141)))</f>
        <v>0</v>
      </c>
    </row>
    <row r="142" spans="1:7" ht="16.149999999999999" customHeight="1" x14ac:dyDescent="0.25">
      <c r="A142" s="109">
        <f t="shared" ca="1" si="10"/>
        <v>49887</v>
      </c>
      <c r="B142" s="110">
        <f t="shared" ca="1" si="12"/>
        <v>0</v>
      </c>
      <c r="C142" s="115">
        <v>0</v>
      </c>
      <c r="D142" s="111">
        <f t="shared" ca="1" si="13"/>
        <v>0</v>
      </c>
      <c r="E142" s="111">
        <f t="shared" ca="1" si="14"/>
        <v>0</v>
      </c>
      <c r="F142" s="111">
        <f t="shared" ca="1" si="11"/>
        <v>0</v>
      </c>
      <c r="G142" s="112">
        <f ca="1">IF(ROUND(SUM(B142:C142,-F142),0)=0,0,IF($B$6="Yes",SUM($C$9:C142),SUM(B142:C142,-F142)))</f>
        <v>0</v>
      </c>
    </row>
    <row r="143" spans="1:7" ht="16.149999999999999" customHeight="1" x14ac:dyDescent="0.25">
      <c r="A143" s="109">
        <f t="shared" ca="1" si="10"/>
        <v>49918</v>
      </c>
      <c r="B143" s="110">
        <f t="shared" ca="1" si="12"/>
        <v>0</v>
      </c>
      <c r="C143" s="115">
        <v>0</v>
      </c>
      <c r="D143" s="111">
        <f t="shared" ca="1" si="13"/>
        <v>0</v>
      </c>
      <c r="E143" s="111">
        <f t="shared" ca="1" si="14"/>
        <v>0</v>
      </c>
      <c r="F143" s="111">
        <f t="shared" ca="1" si="11"/>
        <v>0</v>
      </c>
      <c r="G143" s="112">
        <f ca="1">IF(ROUND(SUM(B143:C143,-F143),0)=0,0,IF($B$6="Yes",SUM($C$9:C143),SUM(B143:C143,-F143)))</f>
        <v>0</v>
      </c>
    </row>
    <row r="144" spans="1:7" ht="16.149999999999999" customHeight="1" x14ac:dyDescent="0.25">
      <c r="A144" s="109">
        <f t="shared" ca="1" si="10"/>
        <v>49948</v>
      </c>
      <c r="B144" s="110">
        <f t="shared" ca="1" si="12"/>
        <v>0</v>
      </c>
      <c r="C144" s="115">
        <v>0</v>
      </c>
      <c r="D144" s="111">
        <f t="shared" ca="1" si="13"/>
        <v>0</v>
      </c>
      <c r="E144" s="111">
        <f t="shared" ca="1" si="14"/>
        <v>0</v>
      </c>
      <c r="F144" s="111">
        <f t="shared" ca="1" si="11"/>
        <v>0</v>
      </c>
      <c r="G144" s="112">
        <f ca="1">IF(ROUND(SUM(B144:C144,-F144),0)=0,0,IF($B$6="Yes",SUM($C$9:C144),SUM(B144:C144,-F144)))</f>
        <v>0</v>
      </c>
    </row>
    <row r="145" spans="1:7" ht="16.149999999999999" customHeight="1" x14ac:dyDescent="0.25">
      <c r="A145" s="109">
        <f t="shared" ca="1" si="10"/>
        <v>49979</v>
      </c>
      <c r="B145" s="110">
        <f t="shared" ca="1" si="12"/>
        <v>0</v>
      </c>
      <c r="C145" s="115">
        <v>0</v>
      </c>
      <c r="D145" s="111">
        <f t="shared" ca="1" si="13"/>
        <v>0</v>
      </c>
      <c r="E145" s="111">
        <f t="shared" ca="1" si="14"/>
        <v>0</v>
      </c>
      <c r="F145" s="111">
        <f t="shared" ca="1" si="11"/>
        <v>0</v>
      </c>
      <c r="G145" s="112">
        <f ca="1">IF(ROUND(SUM(B145:C145,-F145),0)=0,0,IF($B$6="Yes",SUM($C$9:C145),SUM(B145:C145,-F145)))</f>
        <v>0</v>
      </c>
    </row>
    <row r="146" spans="1:7" ht="16.149999999999999" customHeight="1" x14ac:dyDescent="0.25">
      <c r="A146" s="109">
        <f t="shared" ca="1" si="10"/>
        <v>50009</v>
      </c>
      <c r="B146" s="110">
        <f t="shared" ca="1" si="12"/>
        <v>0</v>
      </c>
      <c r="C146" s="115">
        <v>0</v>
      </c>
      <c r="D146" s="111">
        <f t="shared" ca="1" si="13"/>
        <v>0</v>
      </c>
      <c r="E146" s="111">
        <f t="shared" ca="1" si="14"/>
        <v>0</v>
      </c>
      <c r="F146" s="111">
        <f t="shared" ca="1" si="11"/>
        <v>0</v>
      </c>
      <c r="G146" s="112">
        <f ca="1">IF(ROUND(SUM(B146:C146,-F146),0)=0,0,IF($B$6="Yes",SUM($C$9:C146),SUM(B146:C146,-F146)))</f>
        <v>0</v>
      </c>
    </row>
    <row r="147" spans="1:7" ht="16.149999999999999" customHeight="1" x14ac:dyDescent="0.25">
      <c r="A147" s="109">
        <f t="shared" ca="1" si="10"/>
        <v>50040</v>
      </c>
      <c r="B147" s="110">
        <f t="shared" ca="1" si="12"/>
        <v>0</v>
      </c>
      <c r="C147" s="115">
        <v>0</v>
      </c>
      <c r="D147" s="111">
        <f t="shared" ca="1" si="13"/>
        <v>0</v>
      </c>
      <c r="E147" s="111">
        <f t="shared" ca="1" si="14"/>
        <v>0</v>
      </c>
      <c r="F147" s="111">
        <f t="shared" ca="1" si="11"/>
        <v>0</v>
      </c>
      <c r="G147" s="112">
        <f ca="1">IF(ROUND(SUM(B147:C147,-F147),0)=0,0,IF($B$6="Yes",SUM($C$9:C147),SUM(B147:C147,-F147)))</f>
        <v>0</v>
      </c>
    </row>
    <row r="148" spans="1:7" ht="16.149999999999999" customHeight="1" x14ac:dyDescent="0.25">
      <c r="A148" s="109">
        <f t="shared" ca="1" si="10"/>
        <v>50071</v>
      </c>
      <c r="B148" s="110">
        <f t="shared" ca="1" si="12"/>
        <v>0</v>
      </c>
      <c r="C148" s="115">
        <v>0</v>
      </c>
      <c r="D148" s="111">
        <f t="shared" ca="1" si="13"/>
        <v>0</v>
      </c>
      <c r="E148" s="111">
        <f t="shared" ca="1" si="14"/>
        <v>0</v>
      </c>
      <c r="F148" s="111">
        <f t="shared" ca="1" si="11"/>
        <v>0</v>
      </c>
      <c r="G148" s="112">
        <f ca="1">IF(ROUND(SUM(B148:C148,-F148),0)=0,0,IF($B$6="Yes",SUM($C$9:C148),SUM(B148:C148,-F148)))</f>
        <v>0</v>
      </c>
    </row>
    <row r="149" spans="1:7" ht="16.149999999999999" customHeight="1" x14ac:dyDescent="0.25">
      <c r="A149" s="109">
        <f t="shared" ca="1" si="10"/>
        <v>50099</v>
      </c>
      <c r="B149" s="110">
        <f t="shared" ca="1" si="12"/>
        <v>0</v>
      </c>
      <c r="C149" s="115">
        <v>0</v>
      </c>
      <c r="D149" s="111">
        <f t="shared" ca="1" si="13"/>
        <v>0</v>
      </c>
      <c r="E149" s="111">
        <f t="shared" ca="1" si="14"/>
        <v>0</v>
      </c>
      <c r="F149" s="111">
        <f t="shared" ca="1" si="11"/>
        <v>0</v>
      </c>
      <c r="G149" s="112">
        <f ca="1">IF(ROUND(SUM(B149:C149,-F149),0)=0,0,IF($B$6="Yes",SUM($C$9:C149),SUM(B149:C149,-F149)))</f>
        <v>0</v>
      </c>
    </row>
    <row r="150" spans="1:7" ht="16.149999999999999" customHeight="1" x14ac:dyDescent="0.25">
      <c r="A150" s="109">
        <f t="shared" ca="1" si="10"/>
        <v>50130</v>
      </c>
      <c r="B150" s="110">
        <f t="shared" ca="1" si="12"/>
        <v>0</v>
      </c>
      <c r="C150" s="115">
        <v>0</v>
      </c>
      <c r="D150" s="111">
        <f t="shared" ca="1" si="13"/>
        <v>0</v>
      </c>
      <c r="E150" s="111">
        <f t="shared" ca="1" si="14"/>
        <v>0</v>
      </c>
      <c r="F150" s="111">
        <f t="shared" ca="1" si="11"/>
        <v>0</v>
      </c>
      <c r="G150" s="112">
        <f ca="1">IF(ROUND(SUM(B150:C150,-F150),0)=0,0,IF($B$6="Yes",SUM($C$9:C150),SUM(B150:C150,-F150)))</f>
        <v>0</v>
      </c>
    </row>
    <row r="151" spans="1:7" ht="16.149999999999999" customHeight="1" x14ac:dyDescent="0.25">
      <c r="A151" s="109">
        <f t="shared" ca="1" si="10"/>
        <v>50160</v>
      </c>
      <c r="B151" s="110">
        <f t="shared" ca="1" si="12"/>
        <v>0</v>
      </c>
      <c r="C151" s="115">
        <v>0</v>
      </c>
      <c r="D151" s="111">
        <f t="shared" ca="1" si="13"/>
        <v>0</v>
      </c>
      <c r="E151" s="111">
        <f t="shared" ca="1" si="14"/>
        <v>0</v>
      </c>
      <c r="F151" s="111">
        <f t="shared" ca="1" si="11"/>
        <v>0</v>
      </c>
      <c r="G151" s="112">
        <f ca="1">IF(ROUND(SUM(B151:C151,-F151),0)=0,0,IF($B$6="Yes",SUM($C$9:C151),SUM(B151:C151,-F151)))</f>
        <v>0</v>
      </c>
    </row>
    <row r="152" spans="1:7" ht="16.149999999999999" customHeight="1" x14ac:dyDescent="0.25">
      <c r="A152" s="109">
        <f t="shared" ca="1" si="10"/>
        <v>50191</v>
      </c>
      <c r="B152" s="110">
        <f t="shared" ca="1" si="12"/>
        <v>0</v>
      </c>
      <c r="C152" s="115">
        <v>0</v>
      </c>
      <c r="D152" s="111">
        <f t="shared" ca="1" si="13"/>
        <v>0</v>
      </c>
      <c r="E152" s="111">
        <f t="shared" ca="1" si="14"/>
        <v>0</v>
      </c>
      <c r="F152" s="111">
        <f t="shared" ca="1" si="11"/>
        <v>0</v>
      </c>
      <c r="G152" s="112">
        <f ca="1">IF(ROUND(SUM(B152:C152,-F152),0)=0,0,IF($B$6="Yes",SUM($C$9:C152),SUM(B152:C152,-F152)))</f>
        <v>0</v>
      </c>
    </row>
    <row r="153" spans="1:7" ht="16.149999999999999" customHeight="1" x14ac:dyDescent="0.25">
      <c r="A153" s="109">
        <f t="shared" ca="1" si="10"/>
        <v>50221</v>
      </c>
      <c r="B153" s="110">
        <f t="shared" ca="1" si="12"/>
        <v>0</v>
      </c>
      <c r="C153" s="115">
        <v>0</v>
      </c>
      <c r="D153" s="111">
        <f t="shared" ca="1" si="13"/>
        <v>0</v>
      </c>
      <c r="E153" s="111">
        <f t="shared" ca="1" si="14"/>
        <v>0</v>
      </c>
      <c r="F153" s="111">
        <f t="shared" ca="1" si="11"/>
        <v>0</v>
      </c>
      <c r="G153" s="112">
        <f ca="1">IF(ROUND(SUM(B153:C153,-F153),0)=0,0,IF($B$6="Yes",SUM($C$9:C153),SUM(B153:C153,-F153)))</f>
        <v>0</v>
      </c>
    </row>
    <row r="154" spans="1:7" ht="16.149999999999999" customHeight="1" x14ac:dyDescent="0.25">
      <c r="A154" s="109">
        <f t="shared" ca="1" si="10"/>
        <v>50252</v>
      </c>
      <c r="B154" s="110">
        <f t="shared" ca="1" si="12"/>
        <v>0</v>
      </c>
      <c r="C154" s="115">
        <v>0</v>
      </c>
      <c r="D154" s="111">
        <f t="shared" ca="1" si="13"/>
        <v>0</v>
      </c>
      <c r="E154" s="111">
        <f t="shared" ca="1" si="14"/>
        <v>0</v>
      </c>
      <c r="F154" s="111">
        <f t="shared" ca="1" si="11"/>
        <v>0</v>
      </c>
      <c r="G154" s="112">
        <f ca="1">IF(ROUND(SUM(B154:C154,-F154),0)=0,0,IF($B$6="Yes",SUM($C$9:C154),SUM(B154:C154,-F154)))</f>
        <v>0</v>
      </c>
    </row>
    <row r="155" spans="1:7" ht="16.149999999999999" customHeight="1" x14ac:dyDescent="0.25">
      <c r="A155" s="109">
        <f t="shared" ca="1" si="10"/>
        <v>50283</v>
      </c>
      <c r="B155" s="110">
        <f t="shared" ca="1" si="12"/>
        <v>0</v>
      </c>
      <c r="C155" s="115">
        <v>0</v>
      </c>
      <c r="D155" s="111">
        <f t="shared" ca="1" si="13"/>
        <v>0</v>
      </c>
      <c r="E155" s="111">
        <f t="shared" ca="1" si="14"/>
        <v>0</v>
      </c>
      <c r="F155" s="111">
        <f t="shared" ca="1" si="11"/>
        <v>0</v>
      </c>
      <c r="G155" s="112">
        <f ca="1">IF(ROUND(SUM(B155:C155,-F155),0)=0,0,IF($B$6="Yes",SUM($C$9:C155),SUM(B155:C155,-F155)))</f>
        <v>0</v>
      </c>
    </row>
    <row r="156" spans="1:7" ht="16.149999999999999" customHeight="1" x14ac:dyDescent="0.25">
      <c r="A156" s="109">
        <f t="shared" ca="1" si="10"/>
        <v>50313</v>
      </c>
      <c r="B156" s="110">
        <f t="shared" ca="1" si="12"/>
        <v>0</v>
      </c>
      <c r="C156" s="115">
        <v>0</v>
      </c>
      <c r="D156" s="111">
        <f t="shared" ca="1" si="13"/>
        <v>0</v>
      </c>
      <c r="E156" s="111">
        <f t="shared" ca="1" si="14"/>
        <v>0</v>
      </c>
      <c r="F156" s="111">
        <f t="shared" ca="1" si="11"/>
        <v>0</v>
      </c>
      <c r="G156" s="112">
        <f ca="1">IF(ROUND(SUM(B156:C156,-F156),0)=0,0,IF($B$6="Yes",SUM($C$9:C156),SUM(B156:C156,-F156)))</f>
        <v>0</v>
      </c>
    </row>
    <row r="157" spans="1:7" ht="16.149999999999999" customHeight="1" x14ac:dyDescent="0.25">
      <c r="A157" s="109">
        <f t="shared" ca="1" si="10"/>
        <v>50344</v>
      </c>
      <c r="B157" s="110">
        <f t="shared" ca="1" si="12"/>
        <v>0</v>
      </c>
      <c r="C157" s="115">
        <v>0</v>
      </c>
      <c r="D157" s="111">
        <f t="shared" ca="1" si="13"/>
        <v>0</v>
      </c>
      <c r="E157" s="111">
        <f t="shared" ca="1" si="14"/>
        <v>0</v>
      </c>
      <c r="F157" s="111">
        <f t="shared" ca="1" si="11"/>
        <v>0</v>
      </c>
      <c r="G157" s="112">
        <f ca="1">IF(ROUND(SUM(B157:C157,-F157),0)=0,0,IF($B$6="Yes",SUM($C$9:C157),SUM(B157:C157,-F157)))</f>
        <v>0</v>
      </c>
    </row>
    <row r="158" spans="1:7" ht="16.149999999999999" customHeight="1" x14ac:dyDescent="0.25">
      <c r="A158" s="109">
        <f t="shared" ca="1" si="10"/>
        <v>50374</v>
      </c>
      <c r="B158" s="110">
        <f t="shared" ca="1" si="12"/>
        <v>0</v>
      </c>
      <c r="C158" s="115">
        <v>0</v>
      </c>
      <c r="D158" s="111">
        <f t="shared" ca="1" si="13"/>
        <v>0</v>
      </c>
      <c r="E158" s="111">
        <f t="shared" ca="1" si="14"/>
        <v>0</v>
      </c>
      <c r="F158" s="111">
        <f t="shared" ca="1" si="11"/>
        <v>0</v>
      </c>
      <c r="G158" s="112">
        <f ca="1">IF(ROUND(SUM(B158:C158,-F158),0)=0,0,IF($B$6="Yes",SUM($C$9:C158),SUM(B158:C158,-F158)))</f>
        <v>0</v>
      </c>
    </row>
    <row r="159" spans="1:7" ht="16.149999999999999" customHeight="1" x14ac:dyDescent="0.25">
      <c r="A159" s="109">
        <f t="shared" ca="1" si="10"/>
        <v>50405</v>
      </c>
      <c r="B159" s="110">
        <f t="shared" ca="1" si="12"/>
        <v>0</v>
      </c>
      <c r="C159" s="115">
        <v>0</v>
      </c>
      <c r="D159" s="111">
        <f t="shared" ca="1" si="13"/>
        <v>0</v>
      </c>
      <c r="E159" s="111">
        <f t="shared" ca="1" si="14"/>
        <v>0</v>
      </c>
      <c r="F159" s="111">
        <f t="shared" ca="1" si="11"/>
        <v>0</v>
      </c>
      <c r="G159" s="112">
        <f ca="1">IF(ROUND(SUM(B159:C159,-F159),0)=0,0,IF($B$6="Yes",SUM($C$9:C159),SUM(B159:C159,-F159)))</f>
        <v>0</v>
      </c>
    </row>
    <row r="160" spans="1:7" ht="16.149999999999999" customHeight="1" x14ac:dyDescent="0.25">
      <c r="A160" s="109">
        <f t="shared" ca="1" si="10"/>
        <v>50436</v>
      </c>
      <c r="B160" s="110">
        <f t="shared" ca="1" si="12"/>
        <v>0</v>
      </c>
      <c r="C160" s="115">
        <v>0</v>
      </c>
      <c r="D160" s="111">
        <f t="shared" ca="1" si="13"/>
        <v>0</v>
      </c>
      <c r="E160" s="111">
        <f t="shared" ca="1" si="14"/>
        <v>0</v>
      </c>
      <c r="F160" s="111">
        <f t="shared" ca="1" si="11"/>
        <v>0</v>
      </c>
      <c r="G160" s="112">
        <f ca="1">IF(ROUND(SUM(B160:C160,-F160),0)=0,0,IF($B$6="Yes",SUM($C$9:C160),SUM(B160:C160,-F160)))</f>
        <v>0</v>
      </c>
    </row>
    <row r="161" spans="1:7" ht="16.149999999999999" customHeight="1" x14ac:dyDescent="0.25">
      <c r="A161" s="109">
        <f t="shared" ca="1" si="10"/>
        <v>50464</v>
      </c>
      <c r="B161" s="110">
        <f t="shared" ca="1" si="12"/>
        <v>0</v>
      </c>
      <c r="C161" s="115">
        <v>0</v>
      </c>
      <c r="D161" s="111">
        <f t="shared" ca="1" si="13"/>
        <v>0</v>
      </c>
      <c r="E161" s="111">
        <f t="shared" ca="1" si="14"/>
        <v>0</v>
      </c>
      <c r="F161" s="111">
        <f t="shared" ca="1" si="11"/>
        <v>0</v>
      </c>
      <c r="G161" s="112">
        <f ca="1">IF(ROUND(SUM(B161:C161,-F161),0)=0,0,IF($B$6="Yes",SUM($C$9:C161),SUM(B161:C161,-F161)))</f>
        <v>0</v>
      </c>
    </row>
    <row r="162" spans="1:7" ht="16.149999999999999" customHeight="1" x14ac:dyDescent="0.25">
      <c r="A162" s="109">
        <f t="shared" ca="1" si="10"/>
        <v>50495</v>
      </c>
      <c r="B162" s="110">
        <f t="shared" ca="1" si="12"/>
        <v>0</v>
      </c>
      <c r="C162" s="115">
        <v>0</v>
      </c>
      <c r="D162" s="111">
        <f t="shared" ca="1" si="13"/>
        <v>0</v>
      </c>
      <c r="E162" s="111">
        <f t="shared" ca="1" si="14"/>
        <v>0</v>
      </c>
      <c r="F162" s="111">
        <f t="shared" ca="1" si="11"/>
        <v>0</v>
      </c>
      <c r="G162" s="112">
        <f ca="1">IF(ROUND(SUM(B162:C162,-F162),0)=0,0,IF($B$6="Yes",SUM($C$9:C162),SUM(B162:C162,-F162)))</f>
        <v>0</v>
      </c>
    </row>
    <row r="163" spans="1:7" ht="16.149999999999999" customHeight="1" x14ac:dyDescent="0.25">
      <c r="A163" s="109">
        <f t="shared" ca="1" si="10"/>
        <v>50525</v>
      </c>
      <c r="B163" s="110">
        <f t="shared" ca="1" si="12"/>
        <v>0</v>
      </c>
      <c r="C163" s="115">
        <v>0</v>
      </c>
      <c r="D163" s="111">
        <f t="shared" ca="1" si="13"/>
        <v>0</v>
      </c>
      <c r="E163" s="111">
        <f t="shared" ca="1" si="14"/>
        <v>0</v>
      </c>
      <c r="F163" s="111">
        <f t="shared" ca="1" si="11"/>
        <v>0</v>
      </c>
      <c r="G163" s="112">
        <f ca="1">IF(ROUND(SUM(B163:C163,-F163),0)=0,0,IF($B$6="Yes",SUM($C$9:C163),SUM(B163:C163,-F163)))</f>
        <v>0</v>
      </c>
    </row>
    <row r="164" spans="1:7" ht="16.149999999999999" customHeight="1" x14ac:dyDescent="0.25">
      <c r="A164" s="109">
        <f t="shared" ca="1" si="10"/>
        <v>50556</v>
      </c>
      <c r="B164" s="110">
        <f t="shared" ca="1" si="12"/>
        <v>0</v>
      </c>
      <c r="C164" s="115">
        <v>0</v>
      </c>
      <c r="D164" s="111">
        <f t="shared" ca="1" si="13"/>
        <v>0</v>
      </c>
      <c r="E164" s="111">
        <f t="shared" ca="1" si="14"/>
        <v>0</v>
      </c>
      <c r="F164" s="111">
        <f t="shared" ca="1" si="11"/>
        <v>0</v>
      </c>
      <c r="G164" s="112">
        <f ca="1">IF(ROUND(SUM(B164:C164,-F164),0)=0,0,IF($B$6="Yes",SUM($C$9:C164),SUM(B164:C164,-F164)))</f>
        <v>0</v>
      </c>
    </row>
    <row r="165" spans="1:7" ht="16.149999999999999" customHeight="1" x14ac:dyDescent="0.25">
      <c r="A165" s="109">
        <f t="shared" ca="1" si="10"/>
        <v>50586</v>
      </c>
      <c r="B165" s="110">
        <f t="shared" ca="1" si="12"/>
        <v>0</v>
      </c>
      <c r="C165" s="115">
        <v>0</v>
      </c>
      <c r="D165" s="111">
        <f t="shared" ca="1" si="13"/>
        <v>0</v>
      </c>
      <c r="E165" s="111">
        <f t="shared" ca="1" si="14"/>
        <v>0</v>
      </c>
      <c r="F165" s="111">
        <f t="shared" ca="1" si="11"/>
        <v>0</v>
      </c>
      <c r="G165" s="112">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82"/>
  <sheetViews>
    <sheetView zoomScaleNormal="100" workbookViewId="0">
      <pane ySplit="3" topLeftCell="A90" activePane="bottomLeft" state="frozen"/>
      <selection pane="bottomLeft" activeCell="C21" sqref="C21"/>
    </sheetView>
  </sheetViews>
  <sheetFormatPr defaultColWidth="9.140625" defaultRowHeight="12.75" x14ac:dyDescent="0.2"/>
  <cols>
    <col min="1" max="1" width="109.7109375" style="143" customWidth="1"/>
    <col min="2" max="2" width="50.7109375" style="140" customWidth="1"/>
    <col min="3" max="19" width="20.7109375" style="140" customWidth="1"/>
    <col min="20" max="16384" width="9.140625" style="140"/>
  </cols>
  <sheetData>
    <row r="1" spans="1:1" ht="15.75" x14ac:dyDescent="0.25">
      <c r="A1" s="148" t="s">
        <v>94</v>
      </c>
    </row>
    <row r="2" spans="1:1" ht="15" customHeight="1" x14ac:dyDescent="0.2">
      <c r="A2" s="141" t="s">
        <v>47</v>
      </c>
    </row>
    <row r="3" spans="1:1" ht="15" customHeight="1" x14ac:dyDescent="0.2">
      <c r="A3" s="149" t="s">
        <v>27</v>
      </c>
    </row>
    <row r="4" spans="1:1" x14ac:dyDescent="0.2">
      <c r="A4" s="142"/>
    </row>
    <row r="5" spans="1:1" ht="76.5" x14ac:dyDescent="0.2">
      <c r="A5" s="143" t="s">
        <v>435</v>
      </c>
    </row>
    <row r="7" spans="1:1" ht="51" x14ac:dyDescent="0.2">
      <c r="A7" s="144" t="s">
        <v>436</v>
      </c>
    </row>
    <row r="9" spans="1:1" x14ac:dyDescent="0.2">
      <c r="A9" s="143" t="s">
        <v>60</v>
      </c>
    </row>
    <row r="10" spans="1:1" x14ac:dyDescent="0.2">
      <c r="A10" s="145" t="s">
        <v>416</v>
      </c>
    </row>
    <row r="11" spans="1:1" ht="38.25" x14ac:dyDescent="0.2">
      <c r="A11" s="145" t="s">
        <v>420</v>
      </c>
    </row>
    <row r="12" spans="1:1" ht="25.5" x14ac:dyDescent="0.2">
      <c r="A12" s="145" t="s">
        <v>417</v>
      </c>
    </row>
    <row r="13" spans="1:1" ht="25.5" x14ac:dyDescent="0.2">
      <c r="A13" s="145" t="s">
        <v>418</v>
      </c>
    </row>
    <row r="14" spans="1:1" ht="38.25" x14ac:dyDescent="0.2">
      <c r="A14" s="145" t="s">
        <v>419</v>
      </c>
    </row>
    <row r="16" spans="1:1" ht="38.25" x14ac:dyDescent="0.2">
      <c r="A16" s="144" t="s">
        <v>254</v>
      </c>
    </row>
    <row r="18" spans="1:1" x14ac:dyDescent="0.2">
      <c r="A18" s="145" t="s">
        <v>255</v>
      </c>
    </row>
    <row r="20" spans="1:1" x14ac:dyDescent="0.2">
      <c r="A20" s="144" t="s">
        <v>256</v>
      </c>
    </row>
    <row r="22" spans="1:1" ht="51" x14ac:dyDescent="0.2">
      <c r="A22" s="143" t="s">
        <v>384</v>
      </c>
    </row>
    <row r="24" spans="1:1" x14ac:dyDescent="0.2">
      <c r="A24" s="144" t="s">
        <v>257</v>
      </c>
    </row>
    <row r="25" spans="1:1" x14ac:dyDescent="0.2">
      <c r="A25" s="144"/>
    </row>
    <row r="26" spans="1:1" ht="38.25" x14ac:dyDescent="0.2">
      <c r="A26" s="143" t="s">
        <v>385</v>
      </c>
    </row>
    <row r="28" spans="1:1" x14ac:dyDescent="0.2">
      <c r="A28" s="145" t="s">
        <v>258</v>
      </c>
    </row>
    <row r="30" spans="1:1" x14ac:dyDescent="0.2">
      <c r="A30" s="143" t="s">
        <v>259</v>
      </c>
    </row>
    <row r="32" spans="1:1" x14ac:dyDescent="0.2">
      <c r="A32" s="144" t="s">
        <v>260</v>
      </c>
    </row>
    <row r="34" spans="1:1" ht="38.25" x14ac:dyDescent="0.2">
      <c r="A34" s="143" t="s">
        <v>386</v>
      </c>
    </row>
    <row r="36" spans="1:1" ht="38.25" x14ac:dyDescent="0.2">
      <c r="A36" s="143" t="s">
        <v>387</v>
      </c>
    </row>
    <row r="38" spans="1:1" ht="51" x14ac:dyDescent="0.2">
      <c r="A38" s="143" t="s">
        <v>261</v>
      </c>
    </row>
    <row r="40" spans="1:1" ht="38.25" x14ac:dyDescent="0.2">
      <c r="A40" s="144" t="s">
        <v>262</v>
      </c>
    </row>
    <row r="41" spans="1:1" x14ac:dyDescent="0.2">
      <c r="A41" s="144"/>
    </row>
    <row r="42" spans="1:1" ht="38.25" x14ac:dyDescent="0.2">
      <c r="A42" s="144" t="s">
        <v>263</v>
      </c>
    </row>
    <row r="44" spans="1:1" x14ac:dyDescent="0.2">
      <c r="A44" s="144" t="s">
        <v>239</v>
      </c>
    </row>
    <row r="46" spans="1:1" ht="38.25" x14ac:dyDescent="0.2">
      <c r="A46" s="143" t="s">
        <v>421</v>
      </c>
    </row>
    <row r="48" spans="1:1" ht="25.5" x14ac:dyDescent="0.2">
      <c r="A48" s="143" t="s">
        <v>388</v>
      </c>
    </row>
    <row r="50" spans="1:1" x14ac:dyDescent="0.2">
      <c r="A50" s="144" t="s">
        <v>154</v>
      </c>
    </row>
    <row r="52" spans="1:1" ht="51" x14ac:dyDescent="0.2">
      <c r="A52" s="143" t="s">
        <v>264</v>
      </c>
    </row>
    <row r="54" spans="1:1" ht="25.5" x14ac:dyDescent="0.2">
      <c r="A54" s="143" t="s">
        <v>391</v>
      </c>
    </row>
    <row r="56" spans="1:1" ht="38.25" x14ac:dyDescent="0.2">
      <c r="A56" s="144" t="s">
        <v>265</v>
      </c>
    </row>
    <row r="58" spans="1:1" x14ac:dyDescent="0.2">
      <c r="A58" s="144" t="s">
        <v>157</v>
      </c>
    </row>
    <row r="60" spans="1:1" ht="38.25" x14ac:dyDescent="0.2">
      <c r="A60" s="143" t="s">
        <v>392</v>
      </c>
    </row>
    <row r="62" spans="1:1" ht="25.5" x14ac:dyDescent="0.2">
      <c r="A62" s="143" t="s">
        <v>393</v>
      </c>
    </row>
    <row r="64" spans="1:1" ht="38.25" x14ac:dyDescent="0.2">
      <c r="A64" s="144" t="s">
        <v>265</v>
      </c>
    </row>
    <row r="66" spans="1:1" ht="51" x14ac:dyDescent="0.2">
      <c r="A66" s="144" t="s">
        <v>266</v>
      </c>
    </row>
    <row r="68" spans="1:1" x14ac:dyDescent="0.2">
      <c r="A68" s="144" t="s">
        <v>161</v>
      </c>
    </row>
    <row r="70" spans="1:1" ht="63.75" x14ac:dyDescent="0.2">
      <c r="A70" s="143" t="s">
        <v>394</v>
      </c>
    </row>
    <row r="72" spans="1:1" ht="38.25" x14ac:dyDescent="0.2">
      <c r="A72" s="143" t="s">
        <v>422</v>
      </c>
    </row>
    <row r="74" spans="1:1" ht="25.5" x14ac:dyDescent="0.2">
      <c r="A74" s="143" t="s">
        <v>395</v>
      </c>
    </row>
    <row r="76" spans="1:1" ht="76.5" x14ac:dyDescent="0.2">
      <c r="A76" s="143" t="s">
        <v>267</v>
      </c>
    </row>
    <row r="78" spans="1:1" x14ac:dyDescent="0.2">
      <c r="A78" s="144" t="s">
        <v>167</v>
      </c>
    </row>
    <row r="80" spans="1:1" ht="38.25" x14ac:dyDescent="0.2">
      <c r="A80" s="143" t="s">
        <v>268</v>
      </c>
    </row>
    <row r="82" spans="1:1" ht="25.5" x14ac:dyDescent="0.2">
      <c r="A82" s="143" t="s">
        <v>397</v>
      </c>
    </row>
    <row r="84" spans="1:1" ht="51" x14ac:dyDescent="0.2">
      <c r="A84" s="143" t="s">
        <v>269</v>
      </c>
    </row>
    <row r="86" spans="1:1" ht="38.25" x14ac:dyDescent="0.2">
      <c r="A86" s="143" t="s">
        <v>270</v>
      </c>
    </row>
    <row r="88" spans="1:1" ht="51" x14ac:dyDescent="0.2">
      <c r="A88" s="143" t="s">
        <v>271</v>
      </c>
    </row>
    <row r="90" spans="1:1" ht="76.5" x14ac:dyDescent="0.2">
      <c r="A90" s="143" t="s">
        <v>272</v>
      </c>
    </row>
    <row r="92" spans="1:1" x14ac:dyDescent="0.2">
      <c r="A92" s="144" t="s">
        <v>37</v>
      </c>
    </row>
    <row r="94" spans="1:1" ht="38.25" x14ac:dyDescent="0.2">
      <c r="A94" s="143" t="s">
        <v>273</v>
      </c>
    </row>
    <row r="96" spans="1:1" ht="51" x14ac:dyDescent="0.2">
      <c r="A96" s="143" t="s">
        <v>423</v>
      </c>
    </row>
    <row r="98" spans="1:1" ht="63.75" x14ac:dyDescent="0.2">
      <c r="A98" s="143" t="s">
        <v>274</v>
      </c>
    </row>
    <row r="100" spans="1:1" ht="51" x14ac:dyDescent="0.2">
      <c r="A100" s="143" t="s">
        <v>275</v>
      </c>
    </row>
    <row r="102" spans="1:1" ht="38.25" x14ac:dyDescent="0.2">
      <c r="A102" s="144" t="s">
        <v>276</v>
      </c>
    </row>
    <row r="104" spans="1:1" ht="38.25" x14ac:dyDescent="0.2">
      <c r="A104" s="144" t="s">
        <v>277</v>
      </c>
    </row>
    <row r="106" spans="1:1" x14ac:dyDescent="0.2">
      <c r="A106" s="144" t="s">
        <v>241</v>
      </c>
    </row>
    <row r="108" spans="1:1" ht="25.5" x14ac:dyDescent="0.2">
      <c r="A108" s="143" t="s">
        <v>278</v>
      </c>
    </row>
    <row r="110" spans="1:1" ht="63.75" x14ac:dyDescent="0.2">
      <c r="A110" s="143" t="s">
        <v>279</v>
      </c>
    </row>
    <row r="112" spans="1:1" ht="51" x14ac:dyDescent="0.2">
      <c r="A112" s="143" t="s">
        <v>280</v>
      </c>
    </row>
    <row r="114" spans="1:1" ht="38.25" x14ac:dyDescent="0.2">
      <c r="A114" s="144" t="s">
        <v>281</v>
      </c>
    </row>
    <row r="116" spans="1:1" ht="63.75" x14ac:dyDescent="0.2">
      <c r="A116" s="144" t="s">
        <v>424</v>
      </c>
    </row>
    <row r="118" spans="1:1" x14ac:dyDescent="0.2">
      <c r="A118" s="145" t="s">
        <v>282</v>
      </c>
    </row>
    <row r="120" spans="1:1" x14ac:dyDescent="0.2">
      <c r="A120" s="143" t="s">
        <v>283</v>
      </c>
    </row>
    <row r="122" spans="1:1" x14ac:dyDescent="0.2">
      <c r="A122" s="144" t="s">
        <v>284</v>
      </c>
    </row>
    <row r="123" spans="1:1" x14ac:dyDescent="0.2">
      <c r="A123" s="144"/>
    </row>
    <row r="124" spans="1:1" ht="38.25" x14ac:dyDescent="0.2">
      <c r="A124" s="143" t="s">
        <v>285</v>
      </c>
    </row>
    <row r="125" spans="1:1" x14ac:dyDescent="0.2">
      <c r="A125" s="144"/>
    </row>
    <row r="126" spans="1:1" ht="51" x14ac:dyDescent="0.2">
      <c r="A126" s="143" t="s">
        <v>286</v>
      </c>
    </row>
    <row r="128" spans="1:1" ht="38.25" x14ac:dyDescent="0.2">
      <c r="A128" s="143" t="s">
        <v>287</v>
      </c>
    </row>
    <row r="130" spans="1:1" ht="25.5" x14ac:dyDescent="0.2">
      <c r="A130" s="144" t="s">
        <v>288</v>
      </c>
    </row>
    <row r="132" spans="1:1" x14ac:dyDescent="0.2">
      <c r="A132" s="144" t="s">
        <v>139</v>
      </c>
    </row>
    <row r="134" spans="1:1" ht="38.25" x14ac:dyDescent="0.2">
      <c r="A134" s="143" t="s">
        <v>398</v>
      </c>
    </row>
    <row r="136" spans="1:1" ht="63.75" x14ac:dyDescent="0.2">
      <c r="A136" s="143" t="s">
        <v>399</v>
      </c>
    </row>
    <row r="138" spans="1:1" ht="38.25" x14ac:dyDescent="0.2">
      <c r="A138" s="144" t="s">
        <v>400</v>
      </c>
    </row>
    <row r="140" spans="1:1" x14ac:dyDescent="0.2">
      <c r="A140" s="144" t="s">
        <v>289</v>
      </c>
    </row>
    <row r="142" spans="1:1" s="146" customFormat="1" ht="51" x14ac:dyDescent="0.2">
      <c r="A142" s="143" t="s">
        <v>290</v>
      </c>
    </row>
    <row r="143" spans="1:1" s="146" customFormat="1" x14ac:dyDescent="0.2">
      <c r="A143" s="143"/>
    </row>
    <row r="144" spans="1:1" s="146" customFormat="1" ht="63.75" x14ac:dyDescent="0.2">
      <c r="A144" s="144" t="s">
        <v>291</v>
      </c>
    </row>
    <row r="146" spans="1:1" ht="51" x14ac:dyDescent="0.2">
      <c r="A146" s="144" t="s">
        <v>292</v>
      </c>
    </row>
    <row r="148" spans="1:1" ht="25.5" x14ac:dyDescent="0.2">
      <c r="A148" s="144" t="s">
        <v>293</v>
      </c>
    </row>
    <row r="150" spans="1:1" ht="51" x14ac:dyDescent="0.2">
      <c r="A150" s="143" t="s">
        <v>294</v>
      </c>
    </row>
    <row r="152" spans="1:1" ht="51" x14ac:dyDescent="0.2">
      <c r="A152" s="143" t="s">
        <v>425</v>
      </c>
    </row>
    <row r="154" spans="1:1" x14ac:dyDescent="0.2">
      <c r="A154" s="144" t="s">
        <v>295</v>
      </c>
    </row>
    <row r="156" spans="1:1" ht="63.75" x14ac:dyDescent="0.2">
      <c r="A156" s="143" t="s">
        <v>296</v>
      </c>
    </row>
    <row r="158" spans="1:1" ht="63.75" x14ac:dyDescent="0.2">
      <c r="A158" s="144" t="s">
        <v>297</v>
      </c>
    </row>
    <row r="160" spans="1:1" ht="51" x14ac:dyDescent="0.2">
      <c r="A160" s="144" t="s">
        <v>298</v>
      </c>
    </row>
    <row r="162" spans="1:1" ht="38.25" x14ac:dyDescent="0.2">
      <c r="A162" s="143" t="s">
        <v>299</v>
      </c>
    </row>
    <row r="164" spans="1:1" ht="51" x14ac:dyDescent="0.2">
      <c r="A164" s="143" t="s">
        <v>300</v>
      </c>
    </row>
    <row r="166" spans="1:1" ht="51" x14ac:dyDescent="0.2">
      <c r="A166" s="144" t="s">
        <v>301</v>
      </c>
    </row>
    <row r="168" spans="1:1" ht="38.25" x14ac:dyDescent="0.2">
      <c r="A168" s="144" t="s">
        <v>302</v>
      </c>
    </row>
    <row r="170" spans="1:1" ht="25.5" x14ac:dyDescent="0.2">
      <c r="A170" s="144" t="s">
        <v>303</v>
      </c>
    </row>
    <row r="172" spans="1:1" ht="38.25" x14ac:dyDescent="0.2">
      <c r="A172" s="143" t="s">
        <v>304</v>
      </c>
    </row>
    <row r="174" spans="1:1" ht="51" x14ac:dyDescent="0.2">
      <c r="A174" s="143" t="s">
        <v>401</v>
      </c>
    </row>
    <row r="176" spans="1:1" x14ac:dyDescent="0.2">
      <c r="A176" s="144" t="s">
        <v>305</v>
      </c>
    </row>
    <row r="178" spans="1:1" ht="76.5" x14ac:dyDescent="0.2">
      <c r="A178" s="143" t="s">
        <v>402</v>
      </c>
    </row>
    <row r="180" spans="1:1" x14ac:dyDescent="0.2">
      <c r="A180" s="144" t="s">
        <v>306</v>
      </c>
    </row>
    <row r="182" spans="1:1" ht="38.25" x14ac:dyDescent="0.2">
      <c r="A182" s="143" t="s">
        <v>307</v>
      </c>
    </row>
    <row r="184" spans="1:1" x14ac:dyDescent="0.2">
      <c r="A184" s="144" t="s">
        <v>308</v>
      </c>
    </row>
    <row r="186" spans="1:1" ht="63.75" x14ac:dyDescent="0.2">
      <c r="A186" s="143" t="s">
        <v>403</v>
      </c>
    </row>
    <row r="188" spans="1:1" ht="25.5" x14ac:dyDescent="0.2">
      <c r="A188" s="144" t="s">
        <v>309</v>
      </c>
    </row>
    <row r="190" spans="1:1" x14ac:dyDescent="0.2">
      <c r="A190" s="144" t="s">
        <v>310</v>
      </c>
    </row>
    <row r="192" spans="1:1" ht="25.5" x14ac:dyDescent="0.2">
      <c r="A192" s="143" t="s">
        <v>311</v>
      </c>
    </row>
    <row r="194" spans="1:1" x14ac:dyDescent="0.2">
      <c r="A194" s="144" t="s">
        <v>312</v>
      </c>
    </row>
    <row r="196" spans="1:1" ht="51" x14ac:dyDescent="0.2">
      <c r="A196" s="143" t="s">
        <v>313</v>
      </c>
    </row>
    <row r="198" spans="1:1" ht="51" x14ac:dyDescent="0.2">
      <c r="A198" s="144" t="s">
        <v>314</v>
      </c>
    </row>
    <row r="200" spans="1:1" ht="51" x14ac:dyDescent="0.2">
      <c r="A200" s="143" t="s">
        <v>426</v>
      </c>
    </row>
    <row r="202" spans="1:1" ht="38.25" x14ac:dyDescent="0.2">
      <c r="A202" s="144" t="s">
        <v>315</v>
      </c>
    </row>
    <row r="204" spans="1:1" ht="51" x14ac:dyDescent="0.2">
      <c r="A204" s="143" t="s">
        <v>404</v>
      </c>
    </row>
    <row r="206" spans="1:1" ht="38.25" x14ac:dyDescent="0.2">
      <c r="A206" s="143" t="s">
        <v>405</v>
      </c>
    </row>
    <row r="207" spans="1:1" x14ac:dyDescent="0.2">
      <c r="A207" s="145"/>
    </row>
    <row r="208" spans="1:1" x14ac:dyDescent="0.2">
      <c r="A208" s="144" t="s">
        <v>316</v>
      </c>
    </row>
    <row r="209" spans="1:1" x14ac:dyDescent="0.2">
      <c r="A209" s="144"/>
    </row>
    <row r="210" spans="1:1" ht="38.25" x14ac:dyDescent="0.2">
      <c r="A210" s="143" t="s">
        <v>317</v>
      </c>
    </row>
    <row r="211" spans="1:1" x14ac:dyDescent="0.2">
      <c r="A211" s="144"/>
    </row>
    <row r="212" spans="1:1" x14ac:dyDescent="0.2">
      <c r="A212" s="144" t="s">
        <v>318</v>
      </c>
    </row>
    <row r="213" spans="1:1" x14ac:dyDescent="0.2">
      <c r="A213" s="144"/>
    </row>
    <row r="214" spans="1:1" ht="38.25" x14ac:dyDescent="0.2">
      <c r="A214" s="143" t="s">
        <v>319</v>
      </c>
    </row>
    <row r="216" spans="1:1" ht="63.75" x14ac:dyDescent="0.2">
      <c r="A216" s="143" t="s">
        <v>320</v>
      </c>
    </row>
    <row r="218" spans="1:1" ht="51" x14ac:dyDescent="0.2">
      <c r="A218" s="144" t="s">
        <v>321</v>
      </c>
    </row>
    <row r="219" spans="1:1" x14ac:dyDescent="0.2">
      <c r="A219" s="144"/>
    </row>
    <row r="220" spans="1:1" ht="38.25" x14ac:dyDescent="0.2">
      <c r="A220" s="143" t="s">
        <v>322</v>
      </c>
    </row>
    <row r="222" spans="1:1" ht="25.5" x14ac:dyDescent="0.2">
      <c r="A222" s="143" t="s">
        <v>323</v>
      </c>
    </row>
    <row r="224" spans="1:1" ht="76.5" x14ac:dyDescent="0.2">
      <c r="A224" s="144" t="s">
        <v>324</v>
      </c>
    </row>
    <row r="226" spans="1:1" ht="51" x14ac:dyDescent="0.2">
      <c r="A226" s="144" t="s">
        <v>325</v>
      </c>
    </row>
    <row r="228" spans="1:1" ht="38.25" x14ac:dyDescent="0.2">
      <c r="A228" s="143" t="s">
        <v>326</v>
      </c>
    </row>
    <row r="230" spans="1:1" ht="51" x14ac:dyDescent="0.2">
      <c r="A230" s="143" t="s">
        <v>327</v>
      </c>
    </row>
    <row r="232" spans="1:1" ht="63.75" x14ac:dyDescent="0.2">
      <c r="A232" s="144" t="s">
        <v>328</v>
      </c>
    </row>
    <row r="234" spans="1:1" ht="51" x14ac:dyDescent="0.2">
      <c r="A234" s="144" t="s">
        <v>329</v>
      </c>
    </row>
    <row r="236" spans="1:1" ht="25.5" x14ac:dyDescent="0.2">
      <c r="A236" s="144" t="s">
        <v>330</v>
      </c>
    </row>
    <row r="238" spans="1:1" ht="51" x14ac:dyDescent="0.2">
      <c r="A238" s="143" t="s">
        <v>331</v>
      </c>
    </row>
    <row r="240" spans="1:1" ht="51" x14ac:dyDescent="0.2">
      <c r="A240" s="143" t="s">
        <v>406</v>
      </c>
    </row>
    <row r="242" spans="1:1" x14ac:dyDescent="0.2">
      <c r="A242" s="144" t="s">
        <v>332</v>
      </c>
    </row>
    <row r="244" spans="1:1" ht="51" x14ac:dyDescent="0.2">
      <c r="A244" s="143" t="s">
        <v>333</v>
      </c>
    </row>
    <row r="246" spans="1:1" ht="51" x14ac:dyDescent="0.2">
      <c r="A246" s="143" t="s">
        <v>334</v>
      </c>
    </row>
    <row r="248" spans="1:1" ht="38.25" x14ac:dyDescent="0.2">
      <c r="A248" s="143" t="s">
        <v>335</v>
      </c>
    </row>
    <row r="250" spans="1:1" ht="51" x14ac:dyDescent="0.2">
      <c r="A250" s="143" t="s">
        <v>336</v>
      </c>
    </row>
    <row r="252" spans="1:1" ht="38.25" x14ac:dyDescent="0.2">
      <c r="A252" s="144" t="s">
        <v>337</v>
      </c>
    </row>
    <row r="254" spans="1:1" ht="25.5" x14ac:dyDescent="0.2">
      <c r="A254" s="144" t="s">
        <v>338</v>
      </c>
    </row>
    <row r="256" spans="1:1" ht="38.25" x14ac:dyDescent="0.2">
      <c r="A256" s="143" t="s">
        <v>339</v>
      </c>
    </row>
    <row r="258" spans="1:1" ht="63.75" x14ac:dyDescent="0.2">
      <c r="A258" s="144" t="s">
        <v>340</v>
      </c>
    </row>
    <row r="260" spans="1:1" ht="51" x14ac:dyDescent="0.2">
      <c r="A260" s="143" t="s">
        <v>341</v>
      </c>
    </row>
    <row r="262" spans="1:1" ht="25.5" x14ac:dyDescent="0.2">
      <c r="A262" s="143" t="s">
        <v>342</v>
      </c>
    </row>
    <row r="264" spans="1:1" ht="25.5" x14ac:dyDescent="0.2">
      <c r="A264" s="144" t="s">
        <v>343</v>
      </c>
    </row>
    <row r="266" spans="1:1" ht="51" x14ac:dyDescent="0.2">
      <c r="A266" s="144" t="s">
        <v>344</v>
      </c>
    </row>
    <row r="268" spans="1:1" ht="38.25" x14ac:dyDescent="0.2">
      <c r="A268" s="144" t="s">
        <v>345</v>
      </c>
    </row>
    <row r="269" spans="1:1" x14ac:dyDescent="0.2">
      <c r="A269" s="144"/>
    </row>
    <row r="270" spans="1:1" ht="38.25" x14ac:dyDescent="0.2">
      <c r="A270" s="143" t="s">
        <v>407</v>
      </c>
    </row>
    <row r="272" spans="1:1" x14ac:dyDescent="0.2">
      <c r="A272" s="144" t="s">
        <v>346</v>
      </c>
    </row>
    <row r="274" spans="1:1" ht="51" x14ac:dyDescent="0.2">
      <c r="A274" s="143" t="s">
        <v>347</v>
      </c>
    </row>
    <row r="276" spans="1:1" ht="38.25" x14ac:dyDescent="0.2">
      <c r="A276" s="143" t="s">
        <v>348</v>
      </c>
    </row>
    <row r="278" spans="1:1" ht="63.75" x14ac:dyDescent="0.2">
      <c r="A278" s="143" t="s">
        <v>349</v>
      </c>
    </row>
    <row r="280" spans="1:1" ht="51" x14ac:dyDescent="0.2">
      <c r="A280" s="143" t="s">
        <v>350</v>
      </c>
    </row>
    <row r="282" spans="1:1" ht="51" x14ac:dyDescent="0.2">
      <c r="A282" s="144" t="s">
        <v>351</v>
      </c>
    </row>
    <row r="284" spans="1:1" ht="51" x14ac:dyDescent="0.2">
      <c r="A284" s="143" t="s">
        <v>352</v>
      </c>
    </row>
    <row r="286" spans="1:1" ht="38.25" x14ac:dyDescent="0.2">
      <c r="A286" s="143" t="s">
        <v>353</v>
      </c>
    </row>
    <row r="288" spans="1:1" ht="38.25" x14ac:dyDescent="0.2">
      <c r="A288" s="144" t="s">
        <v>354</v>
      </c>
    </row>
    <row r="290" spans="1:1" ht="51" x14ac:dyDescent="0.2">
      <c r="A290" s="144" t="s">
        <v>427</v>
      </c>
    </row>
    <row r="292" spans="1:1" ht="38.25" x14ac:dyDescent="0.2">
      <c r="A292" s="144" t="s">
        <v>355</v>
      </c>
    </row>
    <row r="294" spans="1:1" ht="51" x14ac:dyDescent="0.2">
      <c r="A294" s="143" t="s">
        <v>356</v>
      </c>
    </row>
    <row r="296" spans="1:1" ht="25.5" x14ac:dyDescent="0.2">
      <c r="A296" s="143" t="s">
        <v>408</v>
      </c>
    </row>
    <row r="298" spans="1:1" x14ac:dyDescent="0.2">
      <c r="A298" s="144" t="s">
        <v>357</v>
      </c>
    </row>
    <row r="300" spans="1:1" ht="76.5" x14ac:dyDescent="0.2">
      <c r="A300" s="143" t="s">
        <v>409</v>
      </c>
    </row>
    <row r="302" spans="1:1" x14ac:dyDescent="0.2">
      <c r="A302" s="144" t="s">
        <v>358</v>
      </c>
    </row>
    <row r="304" spans="1:1" ht="25.5" x14ac:dyDescent="0.2">
      <c r="A304" s="143" t="s">
        <v>359</v>
      </c>
    </row>
    <row r="306" spans="1:1" ht="51" x14ac:dyDescent="0.2">
      <c r="A306" s="143" t="s">
        <v>428</v>
      </c>
    </row>
    <row r="308" spans="1:1" ht="38.25" x14ac:dyDescent="0.2">
      <c r="A308" s="143" t="s">
        <v>360</v>
      </c>
    </row>
    <row r="310" spans="1:1" ht="51" x14ac:dyDescent="0.2">
      <c r="A310" s="143" t="s">
        <v>361</v>
      </c>
    </row>
    <row r="312" spans="1:1" ht="76.5" x14ac:dyDescent="0.2">
      <c r="A312" s="144" t="s">
        <v>362</v>
      </c>
    </row>
    <row r="314" spans="1:1" ht="51" x14ac:dyDescent="0.2">
      <c r="A314" s="143" t="s">
        <v>363</v>
      </c>
    </row>
    <row r="316" spans="1:1" ht="38.25" x14ac:dyDescent="0.2">
      <c r="A316" s="143" t="s">
        <v>364</v>
      </c>
    </row>
    <row r="318" spans="1:1" ht="38.25" x14ac:dyDescent="0.2">
      <c r="A318" s="144" t="s">
        <v>365</v>
      </c>
    </row>
    <row r="319" spans="1:1" x14ac:dyDescent="0.2">
      <c r="A319" s="144"/>
    </row>
    <row r="320" spans="1:1" ht="38.25" x14ac:dyDescent="0.2">
      <c r="A320" s="143" t="s">
        <v>410</v>
      </c>
    </row>
    <row r="322" spans="1:1" x14ac:dyDescent="0.2">
      <c r="A322" s="144" t="s">
        <v>366</v>
      </c>
    </row>
    <row r="324" spans="1:1" ht="51" x14ac:dyDescent="0.2">
      <c r="A324" s="143" t="s">
        <v>367</v>
      </c>
    </row>
    <row r="326" spans="1:1" ht="25.5" x14ac:dyDescent="0.2">
      <c r="A326" s="143" t="s">
        <v>429</v>
      </c>
    </row>
    <row r="328" spans="1:1" ht="51" x14ac:dyDescent="0.2">
      <c r="A328" s="143" t="s">
        <v>368</v>
      </c>
    </row>
    <row r="330" spans="1:1" ht="76.5" x14ac:dyDescent="0.2">
      <c r="A330" s="144" t="s">
        <v>369</v>
      </c>
    </row>
    <row r="332" spans="1:1" ht="38.25" x14ac:dyDescent="0.2">
      <c r="A332" s="143" t="s">
        <v>370</v>
      </c>
    </row>
    <row r="334" spans="1:1" ht="38.25" x14ac:dyDescent="0.2">
      <c r="A334" s="143" t="s">
        <v>371</v>
      </c>
    </row>
    <row r="336" spans="1:1" ht="38.25" x14ac:dyDescent="0.2">
      <c r="A336" s="143" t="s">
        <v>372</v>
      </c>
    </row>
    <row r="338" spans="1:1" ht="38.25" x14ac:dyDescent="0.2">
      <c r="A338" s="143" t="s">
        <v>430</v>
      </c>
    </row>
    <row r="340" spans="1:1" ht="38.25" x14ac:dyDescent="0.2">
      <c r="A340" s="144" t="s">
        <v>373</v>
      </c>
    </row>
    <row r="342" spans="1:1" ht="51" x14ac:dyDescent="0.2">
      <c r="A342" s="144" t="s">
        <v>374</v>
      </c>
    </row>
    <row r="344" spans="1:1" ht="63.75" x14ac:dyDescent="0.2">
      <c r="A344" s="144" t="s">
        <v>375</v>
      </c>
    </row>
    <row r="346" spans="1:1" ht="63.75" x14ac:dyDescent="0.2">
      <c r="A346" s="144" t="s">
        <v>376</v>
      </c>
    </row>
    <row r="347" spans="1:1" x14ac:dyDescent="0.2">
      <c r="A347" s="144"/>
    </row>
    <row r="348" spans="1:1" ht="25.5" x14ac:dyDescent="0.2">
      <c r="A348" s="143" t="s">
        <v>411</v>
      </c>
    </row>
    <row r="349" spans="1:1" x14ac:dyDescent="0.2">
      <c r="A349" s="144"/>
    </row>
    <row r="350" spans="1:1" x14ac:dyDescent="0.2">
      <c r="A350" s="144" t="s">
        <v>377</v>
      </c>
    </row>
    <row r="351" spans="1:1" x14ac:dyDescent="0.2">
      <c r="A351" s="144"/>
    </row>
    <row r="352" spans="1:1" ht="51" x14ac:dyDescent="0.2">
      <c r="A352" s="143" t="s">
        <v>431</v>
      </c>
    </row>
    <row r="353" spans="1:1" x14ac:dyDescent="0.2">
      <c r="A353" s="144"/>
    </row>
    <row r="354" spans="1:1" ht="25.5" x14ac:dyDescent="0.2">
      <c r="A354" s="143" t="s">
        <v>378</v>
      </c>
    </row>
    <row r="355" spans="1:1" x14ac:dyDescent="0.2">
      <c r="A355" s="144"/>
    </row>
    <row r="356" spans="1:1" ht="38.25" x14ac:dyDescent="0.2">
      <c r="A356" s="143" t="s">
        <v>379</v>
      </c>
    </row>
    <row r="357" spans="1:1" x14ac:dyDescent="0.2">
      <c r="A357" s="144"/>
    </row>
    <row r="358" spans="1:1" x14ac:dyDescent="0.2">
      <c r="A358" s="144" t="s">
        <v>380</v>
      </c>
    </row>
    <row r="360" spans="1:1" ht="51" x14ac:dyDescent="0.2">
      <c r="A360" s="143" t="s">
        <v>432</v>
      </c>
    </row>
    <row r="362" spans="1:1" x14ac:dyDescent="0.2">
      <c r="A362" s="145" t="s">
        <v>381</v>
      </c>
    </row>
    <row r="364" spans="1:1" ht="51" x14ac:dyDescent="0.2">
      <c r="A364" s="143" t="s">
        <v>412</v>
      </c>
    </row>
    <row r="366" spans="1:1" ht="51" x14ac:dyDescent="0.2">
      <c r="A366" s="143" t="s">
        <v>433</v>
      </c>
    </row>
    <row r="368" spans="1:1" ht="51" x14ac:dyDescent="0.2">
      <c r="A368" s="144" t="s">
        <v>434</v>
      </c>
    </row>
    <row r="370" spans="1:1" x14ac:dyDescent="0.2">
      <c r="A370" s="145" t="s">
        <v>382</v>
      </c>
    </row>
    <row r="372" spans="1:1" ht="51" x14ac:dyDescent="0.2">
      <c r="A372" s="143" t="s">
        <v>413</v>
      </c>
    </row>
    <row r="374" spans="1:1" ht="38.25" x14ac:dyDescent="0.2">
      <c r="A374" s="144" t="s">
        <v>383</v>
      </c>
    </row>
    <row r="376" spans="1:1" x14ac:dyDescent="0.2">
      <c r="A376" s="147" t="s">
        <v>28</v>
      </c>
    </row>
    <row r="378" spans="1:1" ht="63.75" x14ac:dyDescent="0.2">
      <c r="A378" s="143" t="s">
        <v>59</v>
      </c>
    </row>
    <row r="380" spans="1:1" x14ac:dyDescent="0.2">
      <c r="A380" s="145" t="s">
        <v>96</v>
      </c>
    </row>
    <row r="381" spans="1:1" x14ac:dyDescent="0.2">
      <c r="A381" s="145"/>
    </row>
    <row r="382" spans="1:1" ht="76.5" x14ac:dyDescent="0.2">
      <c r="A382" s="143" t="s">
        <v>97</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118"/>
  <sheetViews>
    <sheetView tabSelected="1" topLeftCell="A74" zoomScale="95" zoomScaleNormal="95" workbookViewId="0">
      <selection activeCell="C77" sqref="C77"/>
    </sheetView>
  </sheetViews>
  <sheetFormatPr defaultColWidth="9.140625" defaultRowHeight="16.149999999999999" customHeight="1" x14ac:dyDescent="0.3"/>
  <cols>
    <col min="1" max="1" width="5.7109375" style="116" customWidth="1"/>
    <col min="2" max="2" width="35.7109375" style="5" customWidth="1"/>
    <col min="3" max="3" width="15.7109375" style="11" customWidth="1"/>
    <col min="4" max="7" width="15.7109375" style="4" customWidth="1"/>
    <col min="8" max="8" width="8.7109375" style="4" customWidth="1"/>
    <col min="9" max="9" width="15.7109375" style="4" customWidth="1"/>
    <col min="10" max="15" width="15.7109375" style="5" customWidth="1"/>
    <col min="16" max="16384" width="9.140625" style="5"/>
  </cols>
  <sheetData>
    <row r="1" spans="1:9" ht="16.149999999999999" customHeight="1" x14ac:dyDescent="0.3">
      <c r="B1" s="135" t="str">
        <f>IF(ISBLANK($C$4),"Example Limited",$C$4)</f>
        <v>Maisha Transport Company Limited</v>
      </c>
      <c r="C1" s="3"/>
    </row>
    <row r="2" spans="1:9" ht="16.149999999999999" customHeight="1" x14ac:dyDescent="0.3">
      <c r="B2" s="6" t="s">
        <v>62</v>
      </c>
      <c r="C2" s="3"/>
    </row>
    <row r="4" spans="1:9" ht="16.149999999999999" customHeight="1" x14ac:dyDescent="0.3">
      <c r="B4" s="2" t="s">
        <v>61</v>
      </c>
      <c r="C4" s="150" t="s">
        <v>437</v>
      </c>
      <c r="D4" s="151"/>
      <c r="E4" s="152"/>
    </row>
    <row r="5" spans="1:9" s="2" customFormat="1" ht="16.149999999999999" customHeight="1" x14ac:dyDescent="0.25">
      <c r="A5" s="117"/>
      <c r="B5" s="2" t="s">
        <v>45</v>
      </c>
      <c r="C5" s="153">
        <v>45839</v>
      </c>
      <c r="D5" s="7"/>
      <c r="E5" s="7"/>
      <c r="F5" s="7"/>
      <c r="G5" s="8"/>
      <c r="H5" s="8"/>
      <c r="I5" s="8"/>
    </row>
    <row r="6" spans="1:9" s="2" customFormat="1" ht="16.149999999999999" customHeight="1" x14ac:dyDescent="0.25">
      <c r="A6" s="117"/>
      <c r="C6" s="5"/>
      <c r="D6" s="7"/>
      <c r="E6" s="7"/>
      <c r="F6" s="7"/>
      <c r="G6" s="8"/>
      <c r="H6" s="8"/>
      <c r="I6" s="8"/>
    </row>
    <row r="7" spans="1:9" s="2" customFormat="1" ht="16.149999999999999" customHeight="1" x14ac:dyDescent="0.25">
      <c r="A7" s="117"/>
      <c r="B7" s="2" t="s">
        <v>228</v>
      </c>
      <c r="C7" s="5"/>
      <c r="D7" s="7"/>
      <c r="E7" s="7"/>
      <c r="F7" s="7"/>
      <c r="G7" s="8"/>
      <c r="H7" s="8"/>
      <c r="I7" s="8"/>
    </row>
    <row r="8" spans="1:9" s="2" customFormat="1" ht="16.149999999999999" customHeight="1" x14ac:dyDescent="0.25">
      <c r="A8" s="117"/>
      <c r="B8" s="2" t="s">
        <v>1</v>
      </c>
      <c r="C8" s="9"/>
      <c r="D8" s="10" t="s">
        <v>87</v>
      </c>
      <c r="E8" s="10" t="s">
        <v>88</v>
      </c>
      <c r="F8" s="10" t="s">
        <v>89</v>
      </c>
      <c r="G8" s="10" t="s">
        <v>90</v>
      </c>
      <c r="H8" s="8"/>
      <c r="I8" s="8"/>
    </row>
    <row r="9" spans="1:9" ht="16.149999999999999" customHeight="1" x14ac:dyDescent="0.3">
      <c r="B9" s="6" t="s">
        <v>91</v>
      </c>
      <c r="D9" s="12"/>
    </row>
    <row r="10" spans="1:9" ht="16.149999999999999" customHeight="1" x14ac:dyDescent="0.3">
      <c r="B10" s="6" t="s">
        <v>92</v>
      </c>
      <c r="D10" s="13">
        <v>0.08</v>
      </c>
      <c r="E10" s="13">
        <v>0.08</v>
      </c>
      <c r="F10" s="13">
        <v>0.08</v>
      </c>
      <c r="G10" s="13">
        <v>0.08</v>
      </c>
    </row>
    <row r="11" spans="1:9" ht="16.149999999999999" customHeight="1" x14ac:dyDescent="0.3">
      <c r="B11" s="2" t="s">
        <v>2</v>
      </c>
      <c r="C11" s="3"/>
    </row>
    <row r="12" spans="1:9" ht="16.149999999999999" customHeight="1" x14ac:dyDescent="0.3">
      <c r="B12" s="6" t="s">
        <v>156</v>
      </c>
      <c r="D12" s="14"/>
      <c r="E12" s="14"/>
      <c r="F12" s="14"/>
    </row>
    <row r="13" spans="1:9" s="2" customFormat="1" ht="16.149999999999999" customHeight="1" x14ac:dyDescent="0.25">
      <c r="A13" s="117"/>
      <c r="B13" s="2" t="s">
        <v>239</v>
      </c>
      <c r="C13" s="9"/>
      <c r="D13" s="10"/>
      <c r="E13" s="10"/>
      <c r="F13" s="10"/>
      <c r="G13" s="10"/>
      <c r="H13" s="8"/>
      <c r="I13" s="8"/>
    </row>
    <row r="14" spans="1:9" ht="16.149999999999999" customHeight="1" x14ac:dyDescent="0.3">
      <c r="B14" s="6" t="s">
        <v>389</v>
      </c>
      <c r="D14" s="14"/>
      <c r="E14" s="14"/>
      <c r="F14" s="14"/>
    </row>
    <row r="15" spans="1:9" ht="16.149999999999999" customHeight="1" x14ac:dyDescent="0.3">
      <c r="B15" s="6" t="s">
        <v>390</v>
      </c>
      <c r="D15" s="14"/>
      <c r="E15" s="14"/>
      <c r="F15" s="14"/>
    </row>
    <row r="16" spans="1:9" ht="16.149999999999999" customHeight="1" x14ac:dyDescent="0.3">
      <c r="B16" s="2" t="s">
        <v>154</v>
      </c>
      <c r="C16" s="3"/>
      <c r="D16" s="10" t="s">
        <v>87</v>
      </c>
      <c r="E16" s="10" t="s">
        <v>88</v>
      </c>
      <c r="F16" s="10" t="s">
        <v>89</v>
      </c>
      <c r="G16" s="10" t="s">
        <v>90</v>
      </c>
    </row>
    <row r="17" spans="2:8" ht="16.149999999999999" customHeight="1" x14ac:dyDescent="0.3">
      <c r="B17" s="6" t="s">
        <v>222</v>
      </c>
      <c r="D17" s="12"/>
    </row>
    <row r="18" spans="2:8" ht="16.149999999999999" customHeight="1" x14ac:dyDescent="0.3">
      <c r="B18" s="6" t="s">
        <v>223</v>
      </c>
      <c r="D18" s="13">
        <v>0.06</v>
      </c>
      <c r="E18" s="13">
        <v>0.06</v>
      </c>
      <c r="F18" s="13">
        <v>0.06</v>
      </c>
      <c r="G18" s="13">
        <v>0.06</v>
      </c>
    </row>
    <row r="19" spans="2:8" ht="16.149999999999999" customHeight="1" x14ac:dyDescent="0.3">
      <c r="B19" s="2" t="s">
        <v>157</v>
      </c>
      <c r="C19" s="3"/>
      <c r="D19" s="10" t="s">
        <v>87</v>
      </c>
      <c r="E19" s="10" t="s">
        <v>88</v>
      </c>
      <c r="F19" s="10" t="s">
        <v>89</v>
      </c>
      <c r="G19" s="10" t="s">
        <v>90</v>
      </c>
    </row>
    <row r="20" spans="2:8" ht="16.149999999999999" customHeight="1" x14ac:dyDescent="0.3">
      <c r="B20" s="6" t="s">
        <v>224</v>
      </c>
      <c r="D20" s="12"/>
    </row>
    <row r="21" spans="2:8" ht="16.149999999999999" customHeight="1" x14ac:dyDescent="0.3">
      <c r="B21" s="6" t="s">
        <v>225</v>
      </c>
      <c r="D21" s="12"/>
    </row>
    <row r="22" spans="2:8" ht="16.149999999999999" customHeight="1" x14ac:dyDescent="0.3">
      <c r="B22" s="2" t="s">
        <v>161</v>
      </c>
      <c r="C22" s="3"/>
      <c r="D22" s="10" t="s">
        <v>87</v>
      </c>
      <c r="E22" s="10" t="s">
        <v>88</v>
      </c>
      <c r="F22" s="10" t="s">
        <v>89</v>
      </c>
      <c r="G22" s="10" t="s">
        <v>90</v>
      </c>
    </row>
    <row r="23" spans="2:8" ht="16.149999999999999" customHeight="1" x14ac:dyDescent="0.3">
      <c r="B23" s="6" t="s">
        <v>226</v>
      </c>
      <c r="C23" s="3"/>
      <c r="D23" s="10"/>
      <c r="E23" s="10"/>
      <c r="F23" s="10"/>
      <c r="G23" s="10"/>
    </row>
    <row r="24" spans="2:8" ht="16.149999999999999" customHeight="1" x14ac:dyDescent="0.3">
      <c r="B24" s="6" t="s">
        <v>93</v>
      </c>
      <c r="D24" s="154">
        <v>280845625</v>
      </c>
      <c r="E24" s="154">
        <v>280845625</v>
      </c>
      <c r="F24" s="154">
        <v>280845625</v>
      </c>
      <c r="G24" s="154">
        <v>280845625</v>
      </c>
      <c r="H24" s="16" t="str">
        <f>IF(MIN(D24:G24)&lt;0,"Enter as positive values!","")</f>
        <v/>
      </c>
    </row>
    <row r="25" spans="2:8" ht="16.149999999999999" customHeight="1" x14ac:dyDescent="0.3">
      <c r="B25" s="6" t="s">
        <v>166</v>
      </c>
      <c r="D25" s="15"/>
      <c r="E25" s="15"/>
      <c r="F25" s="15"/>
      <c r="G25" s="15"/>
      <c r="H25" s="16" t="str">
        <f>IF(MIN(D25:G25)&lt;0,"Enter as positive values!","")</f>
        <v/>
      </c>
    </row>
    <row r="26" spans="2:8" ht="16.149999999999999" customHeight="1" x14ac:dyDescent="0.3">
      <c r="B26" s="2" t="s">
        <v>396</v>
      </c>
      <c r="D26" s="5"/>
      <c r="E26" s="5"/>
      <c r="F26" s="5"/>
      <c r="G26" s="5"/>
      <c r="H26" s="16"/>
    </row>
    <row r="27" spans="2:8" ht="16.149999999999999" customHeight="1" x14ac:dyDescent="0.3">
      <c r="B27" s="6" t="s">
        <v>227</v>
      </c>
      <c r="D27" s="5"/>
      <c r="E27" s="5"/>
      <c r="F27" s="5"/>
      <c r="G27" s="5"/>
      <c r="H27" s="16"/>
    </row>
    <row r="28" spans="2:8" ht="16.149999999999999" customHeight="1" x14ac:dyDescent="0.3">
      <c r="B28" s="6"/>
      <c r="D28" s="5"/>
      <c r="E28" s="5"/>
      <c r="F28" s="5"/>
      <c r="G28" s="5"/>
      <c r="H28" s="16"/>
    </row>
    <row r="29" spans="2:8" ht="16.149999999999999" customHeight="1" x14ac:dyDescent="0.3">
      <c r="B29" s="2" t="s">
        <v>229</v>
      </c>
      <c r="D29" s="5"/>
      <c r="E29" s="5"/>
      <c r="F29" s="5"/>
      <c r="G29" s="5"/>
      <c r="H29" s="16"/>
    </row>
    <row r="30" spans="2:8" ht="16.149999999999999" customHeight="1" x14ac:dyDescent="0.3">
      <c r="B30" s="6" t="s">
        <v>230</v>
      </c>
      <c r="D30" s="17"/>
      <c r="E30" s="17"/>
      <c r="F30" s="17"/>
      <c r="G30" s="17"/>
    </row>
    <row r="31" spans="2:8" ht="16.149999999999999" customHeight="1" x14ac:dyDescent="0.3">
      <c r="B31" s="6" t="s">
        <v>233</v>
      </c>
      <c r="D31" s="17"/>
      <c r="E31" s="17"/>
      <c r="F31" s="17"/>
      <c r="G31" s="17"/>
    </row>
    <row r="32" spans="2:8" ht="16.149999999999999" customHeight="1" x14ac:dyDescent="0.3">
      <c r="B32" s="6" t="s">
        <v>232</v>
      </c>
      <c r="D32" s="17"/>
      <c r="E32" s="17"/>
      <c r="F32" s="17"/>
      <c r="G32" s="17"/>
    </row>
    <row r="33" spans="1:8" ht="16.149999999999999" customHeight="1" x14ac:dyDescent="0.3">
      <c r="B33" s="6"/>
      <c r="D33" s="18" t="s">
        <v>87</v>
      </c>
      <c r="E33" s="18" t="s">
        <v>88</v>
      </c>
      <c r="F33" s="18" t="s">
        <v>89</v>
      </c>
      <c r="G33" s="18" t="s">
        <v>90</v>
      </c>
    </row>
    <row r="34" spans="1:8" ht="16.149999999999999" customHeight="1" x14ac:dyDescent="0.3">
      <c r="A34" s="116" t="s">
        <v>113</v>
      </c>
      <c r="B34" s="5" t="s">
        <v>114</v>
      </c>
      <c r="D34" s="15">
        <v>0</v>
      </c>
      <c r="E34" s="15">
        <v>0</v>
      </c>
      <c r="F34" s="15">
        <v>0</v>
      </c>
      <c r="G34" s="15">
        <v>0</v>
      </c>
      <c r="H34" s="16" t="str">
        <f>IF(MAX(D34:G34)&gt;0,"Enter as negative values!","")</f>
        <v/>
      </c>
    </row>
    <row r="35" spans="1:8" ht="16.149999999999999" customHeight="1" x14ac:dyDescent="0.3">
      <c r="A35" s="118" t="s">
        <v>103</v>
      </c>
      <c r="B35" s="5" t="s">
        <v>104</v>
      </c>
      <c r="D35" s="15">
        <v>0</v>
      </c>
      <c r="E35" s="15">
        <v>0</v>
      </c>
      <c r="F35" s="15">
        <v>0</v>
      </c>
      <c r="G35" s="15">
        <v>0</v>
      </c>
      <c r="H35" s="16"/>
    </row>
    <row r="36" spans="1:8" ht="16.149999999999999" customHeight="1" x14ac:dyDescent="0.3">
      <c r="A36" s="118" t="s">
        <v>108</v>
      </c>
      <c r="B36" s="5" t="s">
        <v>109</v>
      </c>
      <c r="D36" s="15">
        <v>0</v>
      </c>
      <c r="E36" s="15">
        <v>0</v>
      </c>
      <c r="F36" s="15">
        <v>0</v>
      </c>
      <c r="G36" s="15">
        <v>0</v>
      </c>
      <c r="H36" s="16"/>
    </row>
    <row r="37" spans="1:8" ht="16.149999999999999" customHeight="1" x14ac:dyDescent="0.3">
      <c r="A37" s="116" t="s">
        <v>132</v>
      </c>
      <c r="B37" s="5" t="s">
        <v>143</v>
      </c>
      <c r="D37" s="15">
        <v>0</v>
      </c>
      <c r="E37" s="15">
        <v>0</v>
      </c>
      <c r="F37" s="15">
        <v>0</v>
      </c>
      <c r="G37" s="15">
        <v>0</v>
      </c>
      <c r="H37" s="16"/>
    </row>
    <row r="38" spans="1:8" ht="16.149999999999999" customHeight="1" x14ac:dyDescent="0.3">
      <c r="A38" s="116" t="s">
        <v>136</v>
      </c>
      <c r="B38" s="5" t="s">
        <v>137</v>
      </c>
      <c r="D38" s="15">
        <v>0</v>
      </c>
      <c r="E38" s="15">
        <v>0</v>
      </c>
      <c r="F38" s="15">
        <v>0</v>
      </c>
      <c r="G38" s="15">
        <v>0</v>
      </c>
      <c r="H38" s="16"/>
    </row>
    <row r="39" spans="1:8" ht="16.149999999999999" customHeight="1" x14ac:dyDescent="0.3">
      <c r="A39" s="118" t="s">
        <v>98</v>
      </c>
      <c r="B39" s="5" t="s">
        <v>78</v>
      </c>
      <c r="D39" s="15">
        <v>0</v>
      </c>
      <c r="E39" s="15">
        <v>0</v>
      </c>
      <c r="F39" s="15">
        <v>0</v>
      </c>
      <c r="G39" s="15">
        <v>0</v>
      </c>
      <c r="H39" s="16"/>
    </row>
    <row r="40" spans="1:8" ht="16.149999999999999" customHeight="1" x14ac:dyDescent="0.3">
      <c r="A40" s="118" t="s">
        <v>99</v>
      </c>
      <c r="B40" s="5" t="s">
        <v>199</v>
      </c>
      <c r="D40" s="15">
        <v>0</v>
      </c>
      <c r="E40" s="15">
        <v>0</v>
      </c>
      <c r="F40" s="15">
        <v>0</v>
      </c>
      <c r="G40" s="15">
        <v>0</v>
      </c>
      <c r="H40" s="16"/>
    </row>
    <row r="41" spans="1:8" ht="16.149999999999999" customHeight="1" x14ac:dyDescent="0.3">
      <c r="A41" s="118" t="s">
        <v>101</v>
      </c>
      <c r="B41" s="5" t="s">
        <v>200</v>
      </c>
      <c r="D41" s="15">
        <v>0</v>
      </c>
      <c r="E41" s="15">
        <v>0</v>
      </c>
      <c r="F41" s="15">
        <v>0</v>
      </c>
      <c r="G41" s="15">
        <v>0</v>
      </c>
      <c r="H41" s="16"/>
    </row>
    <row r="42" spans="1:8" ht="16.149999999999999" customHeight="1" x14ac:dyDescent="0.3">
      <c r="A42" s="116" t="s">
        <v>112</v>
      </c>
      <c r="B42" s="5" t="s">
        <v>81</v>
      </c>
      <c r="D42" s="15">
        <v>0</v>
      </c>
      <c r="E42" s="15">
        <v>0</v>
      </c>
      <c r="F42" s="15">
        <v>0</v>
      </c>
      <c r="G42" s="15">
        <v>0</v>
      </c>
      <c r="H42" s="16"/>
    </row>
    <row r="43" spans="1:8" ht="16.149999999999999" customHeight="1" x14ac:dyDescent="0.3">
      <c r="B43" s="5" t="s">
        <v>82</v>
      </c>
      <c r="D43" s="6" t="s">
        <v>231</v>
      </c>
      <c r="E43" s="5"/>
      <c r="F43" s="5"/>
      <c r="G43" s="5"/>
    </row>
    <row r="44" spans="1:8" ht="16.149999999999999" customHeight="1" x14ac:dyDescent="0.3">
      <c r="D44" s="6"/>
      <c r="E44" s="5"/>
      <c r="F44" s="5"/>
      <c r="G44" s="5"/>
    </row>
    <row r="45" spans="1:8" ht="16.149999999999999" customHeight="1" x14ac:dyDescent="0.3">
      <c r="B45" s="6" t="s">
        <v>234</v>
      </c>
      <c r="D45" s="6"/>
      <c r="E45" s="5"/>
      <c r="F45" s="5"/>
      <c r="G45" s="5"/>
    </row>
    <row r="46" spans="1:8" ht="16.149999999999999" customHeight="1" x14ac:dyDescent="0.3">
      <c r="B46" s="2" t="s">
        <v>26</v>
      </c>
      <c r="C46" s="3"/>
    </row>
    <row r="47" spans="1:8" ht="16.149999999999999" customHeight="1" x14ac:dyDescent="0.3">
      <c r="B47" s="5" t="s">
        <v>31</v>
      </c>
      <c r="C47" s="20">
        <v>30</v>
      </c>
      <c r="E47" s="12"/>
      <c r="F47" s="12"/>
    </row>
    <row r="48" spans="1:8" ht="16.149999999999999" customHeight="1" x14ac:dyDescent="0.3">
      <c r="B48" s="5" t="s">
        <v>29</v>
      </c>
      <c r="C48" s="20">
        <v>25</v>
      </c>
      <c r="E48" s="12"/>
      <c r="F48" s="12"/>
    </row>
    <row r="49" spans="1:6" ht="16.149999999999999" customHeight="1" x14ac:dyDescent="0.3">
      <c r="B49" s="5" t="s">
        <v>30</v>
      </c>
      <c r="C49" s="20">
        <v>15</v>
      </c>
      <c r="E49" s="12"/>
      <c r="F49" s="12"/>
    </row>
    <row r="50" spans="1:6" ht="16.149999999999999" customHeight="1" x14ac:dyDescent="0.3">
      <c r="B50" s="5" t="s">
        <v>219</v>
      </c>
      <c r="C50" s="5"/>
      <c r="E50" s="12"/>
      <c r="F50" s="12"/>
    </row>
    <row r="51" spans="1:6" ht="16.149999999999999" customHeight="1" x14ac:dyDescent="0.3">
      <c r="B51" s="5" t="s">
        <v>220</v>
      </c>
      <c r="C51" s="21">
        <v>0.2</v>
      </c>
      <c r="E51" s="12"/>
      <c r="F51" s="12"/>
    </row>
    <row r="52" spans="1:6" ht="16.149999999999999" customHeight="1" x14ac:dyDescent="0.3">
      <c r="B52" s="5" t="s">
        <v>185</v>
      </c>
      <c r="C52" s="22">
        <v>1</v>
      </c>
      <c r="E52" s="12"/>
      <c r="F52" s="12"/>
    </row>
    <row r="53" spans="1:6" ht="16.149999999999999" customHeight="1" x14ac:dyDescent="0.3">
      <c r="B53" s="5" t="s">
        <v>186</v>
      </c>
      <c r="C53" s="22">
        <v>1</v>
      </c>
      <c r="E53" s="12"/>
      <c r="F53" s="12"/>
    </row>
    <row r="54" spans="1:6" ht="16.149999999999999" customHeight="1" x14ac:dyDescent="0.3">
      <c r="B54" s="5" t="s">
        <v>187</v>
      </c>
      <c r="C54" s="22" t="s">
        <v>198</v>
      </c>
      <c r="E54" s="12"/>
      <c r="F54" s="12"/>
    </row>
    <row r="55" spans="1:6" ht="16.149999999999999" customHeight="1" x14ac:dyDescent="0.3">
      <c r="B55" s="2" t="s">
        <v>129</v>
      </c>
      <c r="C55" s="9"/>
      <c r="D55" s="10"/>
    </row>
    <row r="56" spans="1:6" ht="16.149999999999999" customHeight="1" x14ac:dyDescent="0.3">
      <c r="B56" s="6" t="s">
        <v>189</v>
      </c>
      <c r="C56" s="9"/>
      <c r="D56" s="5"/>
    </row>
    <row r="57" spans="1:6" ht="16.149999999999999" customHeight="1" x14ac:dyDescent="0.3">
      <c r="A57" s="116" t="s">
        <v>190</v>
      </c>
      <c r="B57" s="23" t="s">
        <v>191</v>
      </c>
      <c r="C57" s="13">
        <v>0.18</v>
      </c>
      <c r="D57" s="5"/>
    </row>
    <row r="58" spans="1:6" ht="16.149999999999999" customHeight="1" x14ac:dyDescent="0.3">
      <c r="A58" s="116" t="s">
        <v>192</v>
      </c>
      <c r="B58" s="23" t="s">
        <v>193</v>
      </c>
      <c r="C58" s="13">
        <v>0</v>
      </c>
      <c r="D58" s="5"/>
    </row>
    <row r="59" spans="1:6" ht="16.149999999999999" customHeight="1" x14ac:dyDescent="0.3">
      <c r="A59" s="116" t="s">
        <v>194</v>
      </c>
      <c r="B59" s="23" t="s">
        <v>195</v>
      </c>
      <c r="C59" s="13">
        <v>0</v>
      </c>
      <c r="D59" s="5"/>
    </row>
    <row r="60" spans="1:6" ht="16.149999999999999" customHeight="1" x14ac:dyDescent="0.3">
      <c r="A60" s="116" t="s">
        <v>196</v>
      </c>
      <c r="B60" s="23" t="s">
        <v>197</v>
      </c>
      <c r="C60" s="13">
        <v>0</v>
      </c>
      <c r="D60" s="5"/>
    </row>
    <row r="61" spans="1:6" ht="16.149999999999999" customHeight="1" x14ac:dyDescent="0.3">
      <c r="B61" s="5" t="s">
        <v>185</v>
      </c>
      <c r="C61" s="22">
        <v>1</v>
      </c>
    </row>
    <row r="62" spans="1:6" ht="16.149999999999999" customHeight="1" x14ac:dyDescent="0.3">
      <c r="B62" s="5" t="s">
        <v>186</v>
      </c>
      <c r="C62" s="22">
        <v>1</v>
      </c>
    </row>
    <row r="63" spans="1:6" ht="16.149999999999999" customHeight="1" x14ac:dyDescent="0.3">
      <c r="B63" s="5" t="s">
        <v>187</v>
      </c>
      <c r="C63" s="22" t="s">
        <v>198</v>
      </c>
      <c r="D63" s="24">
        <f>IF(C63="Current",1,0)</f>
        <v>0</v>
      </c>
    </row>
    <row r="64" spans="1:6" ht="16.149999999999999" customHeight="1" x14ac:dyDescent="0.3">
      <c r="B64" s="2" t="s">
        <v>183</v>
      </c>
      <c r="C64" s="3"/>
    </row>
    <row r="65" spans="1:6" ht="16.149999999999999" customHeight="1" x14ac:dyDescent="0.3">
      <c r="B65" s="5" t="s">
        <v>32</v>
      </c>
      <c r="C65" s="21">
        <v>0.3</v>
      </c>
    </row>
    <row r="66" spans="1:6" ht="16.149999999999999" customHeight="1" x14ac:dyDescent="0.3">
      <c r="B66" s="5" t="s">
        <v>184</v>
      </c>
      <c r="C66" s="22">
        <v>0</v>
      </c>
    </row>
    <row r="67" spans="1:6" ht="16.149999999999999" customHeight="1" x14ac:dyDescent="0.3">
      <c r="B67" s="5" t="s">
        <v>185</v>
      </c>
      <c r="C67" s="22">
        <v>12</v>
      </c>
    </row>
    <row r="68" spans="1:6" ht="16.149999999999999" customHeight="1" x14ac:dyDescent="0.3">
      <c r="B68" s="5" t="s">
        <v>186</v>
      </c>
      <c r="C68" s="22">
        <v>12</v>
      </c>
    </row>
    <row r="69" spans="1:6" ht="16.149999999999999" customHeight="1" x14ac:dyDescent="0.3">
      <c r="B69" s="5" t="s">
        <v>187</v>
      </c>
      <c r="C69" s="22" t="s">
        <v>188</v>
      </c>
      <c r="D69" s="24">
        <f>IF(C69="Subsequent",0,1)</f>
        <v>1</v>
      </c>
    </row>
    <row r="70" spans="1:6" ht="16.149999999999999" customHeight="1" x14ac:dyDescent="0.3">
      <c r="B70" s="6" t="s">
        <v>235</v>
      </c>
      <c r="C70" s="5"/>
      <c r="D70" s="24"/>
    </row>
    <row r="71" spans="1:6" ht="16.149999999999999" customHeight="1" x14ac:dyDescent="0.25">
      <c r="A71" s="117"/>
      <c r="B71" s="2" t="s">
        <v>48</v>
      </c>
      <c r="C71" s="18" t="s">
        <v>179</v>
      </c>
      <c r="D71" s="18" t="s">
        <v>180</v>
      </c>
      <c r="E71" s="18" t="s">
        <v>181</v>
      </c>
      <c r="F71" s="18" t="s">
        <v>182</v>
      </c>
    </row>
    <row r="72" spans="1:6" ht="16.149999999999999" customHeight="1" x14ac:dyDescent="0.3">
      <c r="B72" s="5" t="s">
        <v>33</v>
      </c>
      <c r="C72" s="25">
        <v>0.12</v>
      </c>
      <c r="D72" s="25">
        <v>0</v>
      </c>
      <c r="E72" s="155">
        <v>0</v>
      </c>
      <c r="F72" s="155">
        <v>0</v>
      </c>
    </row>
    <row r="73" spans="1:6" ht="16.149999999999999" customHeight="1" x14ac:dyDescent="0.3">
      <c r="B73" s="5" t="s">
        <v>58</v>
      </c>
      <c r="C73" s="26">
        <v>5</v>
      </c>
      <c r="D73" s="156">
        <v>5</v>
      </c>
      <c r="E73" s="156">
        <v>5</v>
      </c>
      <c r="F73" s="156">
        <v>5</v>
      </c>
    </row>
    <row r="74" spans="1:6" ht="16.149999999999999" customHeight="1" x14ac:dyDescent="0.3">
      <c r="B74" s="5" t="s">
        <v>39</v>
      </c>
      <c r="C74" s="27" t="s">
        <v>40</v>
      </c>
      <c r="D74" s="27" t="s">
        <v>40</v>
      </c>
      <c r="E74" s="27" t="s">
        <v>40</v>
      </c>
      <c r="F74" s="27" t="s">
        <v>40</v>
      </c>
    </row>
    <row r="75" spans="1:6" ht="16.149999999999999" customHeight="1" x14ac:dyDescent="0.3">
      <c r="B75" s="6" t="s">
        <v>237</v>
      </c>
      <c r="C75" s="5"/>
      <c r="D75" s="5"/>
      <c r="E75" s="5"/>
      <c r="F75" s="5"/>
    </row>
    <row r="76" spans="1:6" ht="16.149999999999999" customHeight="1" x14ac:dyDescent="0.3">
      <c r="B76" s="2" t="s">
        <v>236</v>
      </c>
      <c r="D76" s="12"/>
      <c r="E76" s="12"/>
      <c r="F76" s="12"/>
    </row>
    <row r="77" spans="1:6" ht="16.149999999999999" customHeight="1" x14ac:dyDescent="0.3">
      <c r="A77" s="116" t="s">
        <v>98</v>
      </c>
      <c r="B77" s="5" t="s">
        <v>49</v>
      </c>
      <c r="C77" s="157">
        <v>7893509995</v>
      </c>
      <c r="D77" s="29" t="str">
        <f>IF(ROUND(SUM(C76:C100),0)&lt;&gt;0,"The total of all the start-up balances should be nil!","")</f>
        <v/>
      </c>
      <c r="E77" s="12"/>
      <c r="F77" s="12"/>
    </row>
    <row r="78" spans="1:6" ht="16.149999999999999" customHeight="1" x14ac:dyDescent="0.3">
      <c r="A78" s="116" t="s">
        <v>99</v>
      </c>
      <c r="B78" s="5" t="s">
        <v>100</v>
      </c>
      <c r="C78" s="28">
        <v>0</v>
      </c>
      <c r="D78" s="12"/>
      <c r="E78" s="12"/>
      <c r="F78" s="12"/>
    </row>
    <row r="79" spans="1:6" ht="16.149999999999999" customHeight="1" x14ac:dyDescent="0.3">
      <c r="A79" s="116" t="s">
        <v>101</v>
      </c>
      <c r="B79" s="5" t="s">
        <v>102</v>
      </c>
      <c r="C79" s="28">
        <v>0</v>
      </c>
      <c r="D79" s="12"/>
      <c r="E79" s="12"/>
      <c r="F79" s="12"/>
    </row>
    <row r="80" spans="1:6" ht="16.149999999999999" customHeight="1" x14ac:dyDescent="0.3">
      <c r="A80" s="116" t="s">
        <v>103</v>
      </c>
      <c r="B80" s="5" t="s">
        <v>104</v>
      </c>
      <c r="C80" s="28">
        <v>0</v>
      </c>
      <c r="D80" s="12"/>
      <c r="E80" s="12"/>
      <c r="F80" s="12"/>
    </row>
    <row r="81" spans="1:6" ht="16.149999999999999" customHeight="1" x14ac:dyDescent="0.3">
      <c r="A81" s="116" t="s">
        <v>105</v>
      </c>
      <c r="B81" s="5" t="s">
        <v>25</v>
      </c>
      <c r="C81" s="28">
        <v>0</v>
      </c>
      <c r="D81" s="12"/>
      <c r="E81" s="12"/>
      <c r="F81" s="12"/>
    </row>
    <row r="82" spans="1:6" ht="16.149999999999999" customHeight="1" x14ac:dyDescent="0.3">
      <c r="A82" s="116" t="s">
        <v>106</v>
      </c>
      <c r="B82" s="5" t="s">
        <v>107</v>
      </c>
      <c r="C82" s="28">
        <v>0</v>
      </c>
      <c r="D82" s="12"/>
      <c r="E82" s="12"/>
      <c r="F82" s="12"/>
    </row>
    <row r="83" spans="1:6" ht="16.149999999999999" customHeight="1" x14ac:dyDescent="0.3">
      <c r="A83" s="116" t="s">
        <v>108</v>
      </c>
      <c r="B83" s="5" t="s">
        <v>109</v>
      </c>
      <c r="C83" s="28">
        <v>0</v>
      </c>
      <c r="D83" s="12"/>
      <c r="E83" s="12"/>
      <c r="F83" s="12"/>
    </row>
    <row r="84" spans="1:6" ht="16.149999999999999" customHeight="1" x14ac:dyDescent="0.3">
      <c r="A84" s="116" t="s">
        <v>110</v>
      </c>
      <c r="B84" s="5" t="s">
        <v>111</v>
      </c>
      <c r="C84" s="28">
        <v>603749999.99999988</v>
      </c>
      <c r="D84" s="12"/>
      <c r="E84" s="12"/>
      <c r="F84" s="12"/>
    </row>
    <row r="85" spans="1:6" ht="16.149999999999999" customHeight="1" x14ac:dyDescent="0.3">
      <c r="A85" s="116" t="s">
        <v>112</v>
      </c>
      <c r="B85" s="5" t="s">
        <v>0</v>
      </c>
      <c r="C85" s="28">
        <v>-1299451999</v>
      </c>
      <c r="D85" s="12"/>
      <c r="E85" s="12"/>
      <c r="F85" s="12"/>
    </row>
    <row r="86" spans="1:6" ht="16.149999999999999" customHeight="1" x14ac:dyDescent="0.3">
      <c r="A86" s="116" t="s">
        <v>113</v>
      </c>
      <c r="B86" s="5" t="s">
        <v>114</v>
      </c>
      <c r="C86" s="28">
        <v>0</v>
      </c>
      <c r="D86" s="12"/>
      <c r="E86" s="12"/>
      <c r="F86" s="12"/>
    </row>
    <row r="87" spans="1:6" ht="16.149999999999999" customHeight="1" x14ac:dyDescent="0.3">
      <c r="A87" s="116" t="s">
        <v>115</v>
      </c>
      <c r="B87" s="5" t="s">
        <v>35</v>
      </c>
      <c r="C87" s="28">
        <v>0</v>
      </c>
      <c r="D87" s="12"/>
      <c r="E87" s="12"/>
      <c r="F87" s="12"/>
    </row>
    <row r="88" spans="1:6" ht="16.149999999999999" customHeight="1" x14ac:dyDescent="0.3">
      <c r="A88" s="116" t="s">
        <v>116</v>
      </c>
      <c r="B88" s="5" t="s">
        <v>117</v>
      </c>
      <c r="C88" s="28">
        <v>-7197807996</v>
      </c>
      <c r="D88" s="29" t="str">
        <f>IF($C88&gt;0,"Long term loans balances should be entered as negative values!","")</f>
        <v/>
      </c>
      <c r="E88" s="12"/>
      <c r="F88" s="12"/>
    </row>
    <row r="89" spans="1:6" ht="16.149999999999999" customHeight="1" x14ac:dyDescent="0.3">
      <c r="A89" s="116" t="s">
        <v>118</v>
      </c>
      <c r="B89" s="5" t="s">
        <v>119</v>
      </c>
      <c r="C89" s="28">
        <v>0</v>
      </c>
      <c r="D89" s="29" t="str">
        <f t="shared" ref="D89:D90" si="0">IF($C89&gt;0,"Long term loans balances should be entered as negative values!","")</f>
        <v/>
      </c>
      <c r="E89" s="12"/>
      <c r="F89" s="12"/>
    </row>
    <row r="90" spans="1:6" ht="16.149999999999999" customHeight="1" x14ac:dyDescent="0.3">
      <c r="A90" s="116" t="s">
        <v>120</v>
      </c>
      <c r="B90" s="5" t="s">
        <v>121</v>
      </c>
      <c r="C90" s="28">
        <v>0</v>
      </c>
      <c r="D90" s="29" t="str">
        <f t="shared" si="0"/>
        <v/>
      </c>
      <c r="E90" s="12"/>
      <c r="F90" s="12"/>
    </row>
    <row r="91" spans="1:6" ht="16.149999999999999" customHeight="1" x14ac:dyDescent="0.3">
      <c r="A91" s="116" t="s">
        <v>122</v>
      </c>
      <c r="B91" s="5" t="s">
        <v>123</v>
      </c>
      <c r="C91" s="28">
        <v>0</v>
      </c>
      <c r="D91" s="29" t="str">
        <f>IF($C91&gt;0,"Finance lease balances should be entered as negative values!","")</f>
        <v/>
      </c>
      <c r="E91" s="12"/>
      <c r="F91" s="12"/>
    </row>
    <row r="92" spans="1:6" ht="16.149999999999999" customHeight="1" x14ac:dyDescent="0.3">
      <c r="A92" s="116" t="s">
        <v>124</v>
      </c>
      <c r="B92" s="5" t="s">
        <v>125</v>
      </c>
      <c r="C92" s="28">
        <v>0</v>
      </c>
      <c r="D92" s="12"/>
      <c r="E92" s="12"/>
      <c r="F92" s="12"/>
    </row>
    <row r="93" spans="1:6" ht="16.149999999999999" customHeight="1" x14ac:dyDescent="0.3">
      <c r="A93" s="116" t="s">
        <v>126</v>
      </c>
      <c r="B93" s="5" t="s">
        <v>127</v>
      </c>
      <c r="C93" s="28">
        <v>0</v>
      </c>
      <c r="D93" s="12"/>
      <c r="E93" s="12"/>
      <c r="F93" s="12"/>
    </row>
    <row r="94" spans="1:6" ht="16.149999999999999" customHeight="1" x14ac:dyDescent="0.3">
      <c r="A94" s="116" t="s">
        <v>128</v>
      </c>
      <c r="B94" s="5" t="s">
        <v>129</v>
      </c>
      <c r="C94" s="28">
        <v>0</v>
      </c>
      <c r="D94" s="12"/>
      <c r="E94" s="12"/>
      <c r="F94" s="12"/>
    </row>
    <row r="95" spans="1:6" ht="16.149999999999999" customHeight="1" x14ac:dyDescent="0.3">
      <c r="A95" s="116" t="s">
        <v>130</v>
      </c>
      <c r="B95" s="5" t="s">
        <v>131</v>
      </c>
      <c r="C95" s="28">
        <v>0</v>
      </c>
      <c r="D95" s="12"/>
      <c r="E95" s="12"/>
      <c r="F95" s="12"/>
    </row>
    <row r="96" spans="1:6" ht="16.149999999999999" customHeight="1" x14ac:dyDescent="0.3">
      <c r="A96" s="116" t="s">
        <v>132</v>
      </c>
      <c r="B96" s="5" t="s">
        <v>133</v>
      </c>
      <c r="C96" s="28">
        <v>0</v>
      </c>
      <c r="D96" s="12"/>
      <c r="E96" s="12"/>
      <c r="F96" s="12"/>
    </row>
    <row r="97" spans="1:7" ht="16.149999999999999" customHeight="1" x14ac:dyDescent="0.3">
      <c r="A97" s="116" t="s">
        <v>134</v>
      </c>
      <c r="B97" s="5" t="s">
        <v>135</v>
      </c>
      <c r="C97" s="28">
        <v>0</v>
      </c>
      <c r="D97" s="12" t="str">
        <f>IF($C$97&gt;0,"The long term loans start-up balance should be entered as a negative value!","")</f>
        <v/>
      </c>
      <c r="E97" s="12"/>
      <c r="F97" s="12"/>
    </row>
    <row r="98" spans="1:7" ht="16.149999999999999" customHeight="1" x14ac:dyDescent="0.3">
      <c r="A98" s="116" t="s">
        <v>240</v>
      </c>
      <c r="B98" s="5" t="s">
        <v>249</v>
      </c>
      <c r="C98" s="28">
        <v>0</v>
      </c>
      <c r="D98" s="12"/>
      <c r="E98" s="12"/>
      <c r="F98" s="12"/>
    </row>
    <row r="99" spans="1:7" ht="16.149999999999999" customHeight="1" x14ac:dyDescent="0.3">
      <c r="A99" s="116" t="s">
        <v>136</v>
      </c>
      <c r="B99" s="5" t="s">
        <v>137</v>
      </c>
      <c r="C99" s="28">
        <v>0</v>
      </c>
      <c r="D99" s="12"/>
      <c r="E99" s="12"/>
      <c r="F99" s="12"/>
    </row>
    <row r="100" spans="1:7" ht="16.149999999999999" customHeight="1" x14ac:dyDescent="0.25">
      <c r="A100" s="117"/>
      <c r="B100" s="2" t="s">
        <v>241</v>
      </c>
      <c r="C100" s="5"/>
      <c r="D100" s="5"/>
      <c r="E100" s="5"/>
      <c r="F100" s="5"/>
      <c r="G100" s="5"/>
    </row>
    <row r="101" spans="1:7" ht="16.149999999999999" customHeight="1" x14ac:dyDescent="0.3">
      <c r="B101" s="5" t="s">
        <v>243</v>
      </c>
      <c r="C101" s="21">
        <v>0.21</v>
      </c>
    </row>
    <row r="102" spans="1:7" ht="16.149999999999999" customHeight="1" x14ac:dyDescent="0.3">
      <c r="B102" s="5" t="s">
        <v>185</v>
      </c>
      <c r="C102" s="22">
        <v>12</v>
      </c>
    </row>
    <row r="103" spans="1:7" ht="16.149999999999999" customHeight="1" x14ac:dyDescent="0.3">
      <c r="B103" s="5" t="s">
        <v>186</v>
      </c>
      <c r="C103" s="22">
        <v>7</v>
      </c>
      <c r="D103" s="24">
        <f>IF(C102=0,1,C103-((ROUNDUP(C103/C102,0))-1)*C102)</f>
        <v>7</v>
      </c>
    </row>
    <row r="104" spans="1:7" ht="16.149999999999999" customHeight="1" x14ac:dyDescent="0.3">
      <c r="B104" s="5" t="s">
        <v>187</v>
      </c>
      <c r="C104" s="22" t="s">
        <v>414</v>
      </c>
      <c r="D104" s="24">
        <f>IF(C104="Next",1,IF(C104="Subsequent",IF(C102=0,1,IF(D103-((MONTH($C$5)-1)-((ROUNDUP((MONTH($C$5)-1)/C102,0))-1)*C102)&lt;0,D103+C102-((MONTH($C$5)-1)-((ROUNDUP((MONTH($C$5)-1)/C102,0))-1)*C102),D103-((MONTH($C$5)-1)-((ROUNDUP((MONTH($C$5)-1)/C102,0))-1)*C102))),0))</f>
        <v>1</v>
      </c>
    </row>
    <row r="105" spans="1:7" ht="16.149999999999999" customHeight="1" x14ac:dyDescent="0.3">
      <c r="C105" s="5"/>
      <c r="D105" s="5"/>
      <c r="E105" s="5"/>
      <c r="F105" s="5"/>
    </row>
    <row r="106" spans="1:7" ht="16.149999999999999" customHeight="1" x14ac:dyDescent="0.3">
      <c r="C106" s="5"/>
      <c r="D106" s="5"/>
      <c r="E106" s="5"/>
      <c r="F106" s="5"/>
    </row>
    <row r="107" spans="1:7" ht="16.149999999999999" customHeight="1" x14ac:dyDescent="0.3">
      <c r="C107" s="5"/>
      <c r="D107" s="5"/>
      <c r="E107" s="5"/>
      <c r="F107" s="5"/>
    </row>
    <row r="108" spans="1:7" ht="16.149999999999999" customHeight="1" x14ac:dyDescent="0.3">
      <c r="C108" s="5"/>
      <c r="D108" s="5"/>
      <c r="E108" s="5"/>
      <c r="F108" s="5"/>
    </row>
    <row r="109" spans="1:7" ht="16.149999999999999" customHeight="1" x14ac:dyDescent="0.3">
      <c r="C109" s="5"/>
      <c r="D109" s="5"/>
      <c r="E109" s="5"/>
      <c r="F109" s="5"/>
    </row>
    <row r="110" spans="1:7" ht="16.149999999999999" customHeight="1" x14ac:dyDescent="0.3">
      <c r="C110" s="5"/>
      <c r="D110" s="5"/>
      <c r="E110" s="5"/>
      <c r="F110" s="5"/>
    </row>
    <row r="111" spans="1:7" ht="16.149999999999999" customHeight="1" x14ac:dyDescent="0.25">
      <c r="A111" s="119"/>
      <c r="C111" s="5"/>
      <c r="D111" s="5"/>
      <c r="E111" s="5"/>
      <c r="F111" s="5"/>
    </row>
    <row r="112" spans="1:7" ht="16.149999999999999" customHeight="1" x14ac:dyDescent="0.3">
      <c r="A112" s="120"/>
      <c r="C112" s="5"/>
      <c r="D112" s="5"/>
      <c r="E112" s="5"/>
      <c r="F112" s="5"/>
    </row>
    <row r="113" spans="1:6" ht="16.149999999999999" customHeight="1" x14ac:dyDescent="0.3">
      <c r="A113" s="120"/>
      <c r="C113" s="5"/>
      <c r="D113" s="5"/>
      <c r="E113" s="5"/>
      <c r="F113" s="5"/>
    </row>
    <row r="114" spans="1:6" ht="16.149999999999999" customHeight="1" x14ac:dyDescent="0.3">
      <c r="A114" s="120"/>
      <c r="C114" s="5"/>
      <c r="D114" s="5"/>
      <c r="E114" s="5"/>
      <c r="F114" s="5"/>
    </row>
    <row r="115" spans="1:6" ht="16.149999999999999" customHeight="1" x14ac:dyDescent="0.3">
      <c r="A115" s="120"/>
      <c r="C115" s="5"/>
      <c r="D115" s="5"/>
      <c r="E115" s="5"/>
      <c r="F115" s="5"/>
    </row>
    <row r="116" spans="1:6" ht="16.149999999999999" customHeight="1" x14ac:dyDescent="0.3">
      <c r="C116" s="5"/>
      <c r="D116" s="5"/>
      <c r="E116" s="5"/>
      <c r="F116" s="5"/>
    </row>
    <row r="117" spans="1:6" ht="16.149999999999999" customHeight="1" x14ac:dyDescent="0.3">
      <c r="C117" s="5"/>
      <c r="D117" s="5"/>
      <c r="E117" s="5"/>
      <c r="F117" s="5"/>
    </row>
    <row r="118" spans="1:6" ht="16.149999999999999" customHeight="1" x14ac:dyDescent="0.3">
      <c r="C118" s="5"/>
      <c r="D118" s="5"/>
      <c r="E118" s="5"/>
      <c r="F118" s="5"/>
    </row>
  </sheetData>
  <mergeCells count="1">
    <mergeCell ref="C4:E4"/>
  </mergeCells>
  <phoneticPr fontId="3" type="noConversion"/>
  <conditionalFormatting sqref="C78:C99">
    <cfRule type="expression" dxfId="2" priority="3" stopIfTrue="1">
      <formula>ROUND(SUM($C$76:$C$100),0)&lt;&gt;0</formula>
    </cfRule>
  </conditionalFormatting>
  <conditionalFormatting sqref="C88:C91">
    <cfRule type="cellIs" dxfId="1" priority="4" stopIfTrue="1" operator="greaterThan">
      <formula>0</formula>
    </cfRule>
  </conditionalFormatting>
  <conditionalFormatting sqref="C77">
    <cfRule type="expression" dxfId="0" priority="1" stopIfTrue="1">
      <formula>ROUND(SUM($C$79:$C$102),0)&lt;&gt;0</formula>
    </cfRule>
  </conditionalFormatting>
  <dataValidations count="13">
    <dataValidation type="list" allowBlank="1" showInputMessage="1" showErrorMessage="1" errorTitle="Invalid Data" error="Select a valid item from the list box." sqref="C74:F74" xr:uid="{00000000-0002-0000-0400-000000000000}">
      <formula1>"Yes,No"</formula1>
    </dataValidation>
    <dataValidation operator="lessThan" allowBlank="1" showInputMessage="1" showErrorMessage="1" errorTitle="Invalid Input" error="The estimated Creditors balances should be entered as a negative value." sqref="C49 E49:F71 E74:F74 E101:F104" xr:uid="{00000000-0002-0000-0400-000001000000}"/>
    <dataValidation type="decimal" allowBlank="1" showInputMessage="1" showErrorMessage="1" errorTitle="Invalid Input" error="Please enter the value as a percentage - should therefore be a value between 0 and 1." sqref="D12:F12 D14:F15"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n interest rate percentage that is between 0% and 100%." sqref="C72:F72" xr:uid="{00000000-0002-0000-0400-000004000000}">
      <formula1>0</formula1>
      <formula2>1</formula2>
    </dataValidation>
    <dataValidation type="decimal" allowBlank="1" showInputMessage="1" showErrorMessage="1" errorTitle="Invalid Data" error="Enter an income tax percentage that is between 0% and 100%." sqref="C65 C51 C101" xr:uid="{00000000-0002-0000-0400-000005000000}">
      <formula1>0</formula1>
      <formula2>1</formula2>
    </dataValidation>
    <dataValidation type="decimal" allowBlank="1" showInputMessage="1" showErrorMessage="1" errorTitle="Invalid Repayment Term" error="The repayment term must be between 0 and 30 years." sqref="C73:F73" xr:uid="{00000000-0002-0000-0400-000006000000}">
      <formula1>0</formula1>
      <formula2>30</formula2>
    </dataValidation>
    <dataValidation type="decimal" operator="greaterThanOrEqual" allowBlank="1" showInputMessage="1" showErrorMessage="1" errorTitle="Invalid Data" error="The assessed loss needs to be entered as a positive value." sqref="C66" xr:uid="{00000000-0002-0000-0400-000007000000}">
      <formula1>0</formula1>
    </dataValidation>
    <dataValidation type="list" allowBlank="1" showInputMessage="1" showErrorMessage="1" errorTitle="Invalid Data" error="Select a valid item from the list box." sqref="C54 C63 C69" xr:uid="{00000000-0002-0000-0400-000008000000}">
      <formula1>"Current,Subsequent"</formula1>
    </dataValidation>
    <dataValidation type="whole" allowBlank="1" showInputMessage="1" showErrorMessage="1" errorTitle="Invalid Data" error="Enter a valid integer value between 1 and 12." sqref="C61:C62 C67:C68 C52:C53 C102:C103" xr:uid="{00000000-0002-0000-0400-000009000000}">
      <formula1>1</formula1>
      <formula2>12</formula2>
    </dataValidation>
    <dataValidation type="decimal" allowBlank="1" showInputMessage="1" showErrorMessage="1" errorTitle="Invalid Data" error="Enter a percentage that is between 0% and 100%." sqref="C57:C60" xr:uid="{00000000-0002-0000-0400-00000A000000}">
      <formula1>0</formula1>
      <formula2>1</formula2>
    </dataValidation>
    <dataValidation type="decimal" allowBlank="1" showInputMessage="1" showErrorMessage="1" errorTitle="Invalid Data" error="Enter a percentage between -100% and 100%." sqref="D10:G10 D18:G18" xr:uid="{00000000-0002-0000-0400-00000B000000}">
      <formula1>-1</formula1>
      <formula2>1</formula2>
    </dataValidation>
    <dataValidation type="list" allowBlank="1" showInputMessage="1" showErrorMessage="1" errorTitle="Invalid Data" error="Select a valid item from the list box." sqref="C104" xr:uid="{00000000-0002-0000-0400-00000D000000}">
      <formula1>"Cash,Next,Subsequent"</formula1>
    </dataValidation>
  </dataValidations>
  <pageMargins left="0.59055118110236227" right="0.59055118110236227" top="0.59055118110236227" bottom="0.59055118110236227" header="0.39370078740157483" footer="0.39370078740157483"/>
  <pageSetup paperSize="9" scale="75" fitToHeight="0" orientation="portrait"/>
  <headerFooter alignWithMargins="0">
    <oddFooter>&amp;C&amp;9Page &amp;P of &amp;N</oddFooter>
  </headerFooter>
  <rowBreaks count="1" manualBreakCount="1">
    <brk id="69" min="1" max="7" man="1"/>
  </rowBreaks>
  <ignoredErrors>
    <ignoredError sqref="D77"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91"/>
  <sheetViews>
    <sheetView zoomScale="95" zoomScaleNormal="95" workbookViewId="0">
      <pane xSplit="2" ySplit="4" topLeftCell="C5" activePane="bottomRight" state="frozen"/>
      <selection pane="topRight" activeCell="B1" sqref="B1"/>
      <selection pane="bottomLeft" activeCell="A7" sqref="A7"/>
      <selection pane="bottomRight" activeCell="P48" sqref="P48"/>
    </sheetView>
  </sheetViews>
  <sheetFormatPr defaultColWidth="9.140625" defaultRowHeight="16.149999999999999" customHeight="1" x14ac:dyDescent="0.3"/>
  <cols>
    <col min="1" max="1" width="5.7109375" style="121" customWidth="1"/>
    <col min="2" max="2" width="42.28515625" style="5" customWidth="1"/>
    <col min="3" max="6" width="15" style="11" bestFit="1" customWidth="1"/>
    <col min="7" max="13" width="15" style="5" bestFit="1" customWidth="1"/>
    <col min="14" max="14" width="15.7109375" style="5" bestFit="1" customWidth="1"/>
    <col min="15" max="19" width="16.140625" style="2" bestFit="1" customWidth="1"/>
    <col min="20" max="16384" width="9.140625" style="5"/>
  </cols>
  <sheetData>
    <row r="1" spans="1:19" ht="16.149999999999999" customHeight="1" x14ac:dyDescent="0.3">
      <c r="B1" s="135" t="str">
        <f>IF(ISBLANK(Assumptions!$C$4),"Example Limited",Assumptions!$C$4)</f>
        <v>Maisha Transport Company Limited</v>
      </c>
    </row>
    <row r="2" spans="1:19" ht="16.149999999999999" customHeight="1" x14ac:dyDescent="0.3">
      <c r="B2" s="6" t="s">
        <v>63</v>
      </c>
    </row>
    <row r="3" spans="1:19" ht="16.149999999999999" customHeight="1" x14ac:dyDescent="0.3">
      <c r="B3" s="30" t="s">
        <v>57</v>
      </c>
    </row>
    <row r="4" spans="1:19" s="34" customFormat="1" ht="18" customHeight="1" x14ac:dyDescent="0.25">
      <c r="A4" s="122"/>
      <c r="B4" s="31"/>
      <c r="C4" s="32">
        <f ca="1">IF(ISBLANK(Assumptions!$C$5)=TRUE,DATE(YEAR(TODAY()),MONTH(TODAY())+1,0),DATE(YEAR(Assumptions!$C$5),MONTH(Assumptions!$C$5)+1,0))</f>
        <v>45869</v>
      </c>
      <c r="D4" s="32">
        <f t="shared" ref="D4:N4" ca="1" si="0">DATE(YEAR(C4),MONTH(C4)+2,0)</f>
        <v>45900</v>
      </c>
      <c r="E4" s="32">
        <f t="shared" ca="1" si="0"/>
        <v>45930</v>
      </c>
      <c r="F4" s="32">
        <f t="shared" ca="1" si="0"/>
        <v>45961</v>
      </c>
      <c r="G4" s="32">
        <f t="shared" ca="1" si="0"/>
        <v>45991</v>
      </c>
      <c r="H4" s="32">
        <f t="shared" ca="1" si="0"/>
        <v>46022</v>
      </c>
      <c r="I4" s="32">
        <f t="shared" ca="1" si="0"/>
        <v>46053</v>
      </c>
      <c r="J4" s="32">
        <f t="shared" ca="1" si="0"/>
        <v>46081</v>
      </c>
      <c r="K4" s="32">
        <f t="shared" ca="1" si="0"/>
        <v>46112</v>
      </c>
      <c r="L4" s="32">
        <f t="shared" ca="1" si="0"/>
        <v>46142</v>
      </c>
      <c r="M4" s="32">
        <f t="shared" ca="1" si="0"/>
        <v>46173</v>
      </c>
      <c r="N4" s="32">
        <f t="shared" ca="1" si="0"/>
        <v>46203</v>
      </c>
      <c r="O4" s="33" t="str">
        <f ca="1">"Year-"&amp;YEAR(N4)</f>
        <v>Year-2026</v>
      </c>
      <c r="P4" s="33" t="str">
        <f ca="1">"Year-"&amp;YEAR($N4)+1</f>
        <v>Year-2027</v>
      </c>
      <c r="Q4" s="33" t="str">
        <f ca="1">"Year-"&amp;YEAR($N4)+2</f>
        <v>Year-2028</v>
      </c>
      <c r="R4" s="33" t="str">
        <f ca="1">"Year-"&amp;YEAR($N4)+3</f>
        <v>Year-2029</v>
      </c>
      <c r="S4" s="33" t="str">
        <f ca="1">"Year-"&amp;YEAR($N4)+4</f>
        <v>Year-2030</v>
      </c>
    </row>
    <row r="5" spans="1:19" s="11" customFormat="1" ht="16.149999999999999" customHeight="1" x14ac:dyDescent="0.3">
      <c r="A5" s="123" t="s">
        <v>152</v>
      </c>
      <c r="B5" s="35" t="s">
        <v>145</v>
      </c>
      <c r="C5" s="36">
        <v>3332827552.5830002</v>
      </c>
      <c r="D5" s="158">
        <v>3332827552.5830002</v>
      </c>
      <c r="E5" s="158">
        <v>3332827552.5830002</v>
      </c>
      <c r="F5" s="158">
        <v>3332827552.5830002</v>
      </c>
      <c r="G5" s="158">
        <v>3332827552.5830002</v>
      </c>
      <c r="H5" s="158">
        <v>3332827552.5830002</v>
      </c>
      <c r="I5" s="158">
        <v>3332827552.5830002</v>
      </c>
      <c r="J5" s="158">
        <v>3332827552.5830002</v>
      </c>
      <c r="K5" s="158">
        <v>3332827552.5830002</v>
      </c>
      <c r="L5" s="158">
        <v>3332827552.5830002</v>
      </c>
      <c r="M5" s="158">
        <v>3332827552.5830002</v>
      </c>
      <c r="N5" s="158">
        <v>3332827552.5830002</v>
      </c>
      <c r="O5" s="37">
        <f t="shared" ref="O5:O6" si="1">SUM(C5:N5)</f>
        <v>39993930630.996002</v>
      </c>
      <c r="P5" s="37">
        <f>O5*(1+Assumptions!D$10)</f>
        <v>43193445081.475685</v>
      </c>
      <c r="Q5" s="37">
        <f>P5*(1+Assumptions!E$10)</f>
        <v>46648920687.993744</v>
      </c>
      <c r="R5" s="37">
        <f>Q5*(1+Assumptions!F$10)</f>
        <v>50380834343.033249</v>
      </c>
      <c r="S5" s="37">
        <f>R5*(1+Assumptions!G$10)</f>
        <v>54411301090.475914</v>
      </c>
    </row>
    <row r="6" spans="1:19" s="11" customFormat="1" ht="16.149999999999999" customHeight="1" x14ac:dyDescent="0.3">
      <c r="A6" s="123" t="s">
        <v>152</v>
      </c>
      <c r="B6" s="35" t="s">
        <v>146</v>
      </c>
      <c r="C6" s="38">
        <v>0</v>
      </c>
      <c r="D6" s="39">
        <v>0</v>
      </c>
      <c r="E6" s="39">
        <v>0</v>
      </c>
      <c r="F6" s="39">
        <v>0</v>
      </c>
      <c r="G6" s="39">
        <v>0</v>
      </c>
      <c r="H6" s="39">
        <v>0</v>
      </c>
      <c r="I6" s="39">
        <v>0</v>
      </c>
      <c r="J6" s="39">
        <v>0</v>
      </c>
      <c r="K6" s="39">
        <v>0</v>
      </c>
      <c r="L6" s="39">
        <v>0</v>
      </c>
      <c r="M6" s="39">
        <v>0</v>
      </c>
      <c r="N6" s="39">
        <v>0</v>
      </c>
      <c r="O6" s="40">
        <f t="shared" si="1"/>
        <v>0</v>
      </c>
      <c r="P6" s="40">
        <f>O6*(1+Assumptions!D$10)</f>
        <v>0</v>
      </c>
      <c r="Q6" s="40">
        <f>P6*(1+Assumptions!E$10)</f>
        <v>0</v>
      </c>
      <c r="R6" s="40">
        <f>Q6*(1+Assumptions!F$10)</f>
        <v>0</v>
      </c>
      <c r="S6" s="40">
        <f>R6*(1+Assumptions!G$10)</f>
        <v>0</v>
      </c>
    </row>
    <row r="7" spans="1:19" s="3" customFormat="1" ht="16.149999999999999" customHeight="1" thickBot="1" x14ac:dyDescent="0.35">
      <c r="A7" s="121"/>
      <c r="B7" s="41" t="s">
        <v>147</v>
      </c>
      <c r="C7" s="42">
        <f t="shared" ref="C7:S7" ca="1" si="2">SUM(OFFSET(C4,1,0,ROW($B7)-ROW($B4)-1,1))</f>
        <v>3332827552.5830002</v>
      </c>
      <c r="D7" s="42">
        <f t="shared" ca="1" si="2"/>
        <v>3332827552.5830002</v>
      </c>
      <c r="E7" s="42">
        <f t="shared" ca="1" si="2"/>
        <v>3332827552.5830002</v>
      </c>
      <c r="F7" s="42">
        <f t="shared" ca="1" si="2"/>
        <v>3332827552.5830002</v>
      </c>
      <c r="G7" s="42">
        <f t="shared" ca="1" si="2"/>
        <v>3332827552.5830002</v>
      </c>
      <c r="H7" s="42">
        <f t="shared" ca="1" si="2"/>
        <v>3332827552.5830002</v>
      </c>
      <c r="I7" s="42">
        <f t="shared" ca="1" si="2"/>
        <v>3332827552.5830002</v>
      </c>
      <c r="J7" s="42">
        <f t="shared" ca="1" si="2"/>
        <v>3332827552.5830002</v>
      </c>
      <c r="K7" s="42">
        <f t="shared" ca="1" si="2"/>
        <v>3332827552.5830002</v>
      </c>
      <c r="L7" s="42">
        <f t="shared" ca="1" si="2"/>
        <v>3332827552.5830002</v>
      </c>
      <c r="M7" s="42">
        <f t="shared" ca="1" si="2"/>
        <v>3332827552.5830002</v>
      </c>
      <c r="N7" s="42">
        <f t="shared" ca="1" si="2"/>
        <v>3332827552.5830002</v>
      </c>
      <c r="O7" s="42">
        <f t="shared" ca="1" si="2"/>
        <v>39993930630.996002</v>
      </c>
      <c r="P7" s="42">
        <f t="shared" ca="1" si="2"/>
        <v>43193445081.475685</v>
      </c>
      <c r="Q7" s="42">
        <f t="shared" ca="1" si="2"/>
        <v>46648920687.993744</v>
      </c>
      <c r="R7" s="42">
        <f t="shared" ca="1" si="2"/>
        <v>50380834343.033249</v>
      </c>
      <c r="S7" s="42">
        <f t="shared" ca="1" si="2"/>
        <v>54411301090.475914</v>
      </c>
    </row>
    <row r="8" spans="1:19" s="11" customFormat="1" ht="16.149999999999999" customHeight="1" x14ac:dyDescent="0.3">
      <c r="A8" s="121" t="s">
        <v>152</v>
      </c>
      <c r="B8" s="43" t="s">
        <v>148</v>
      </c>
      <c r="C8" s="39">
        <f t="shared" ref="C8:N9" si="3">C5-C11</f>
        <v>1999696531.5497999</v>
      </c>
      <c r="D8" s="39">
        <f t="shared" si="3"/>
        <v>1999696531.5497999</v>
      </c>
      <c r="E8" s="39">
        <f t="shared" si="3"/>
        <v>1999696531.5497999</v>
      </c>
      <c r="F8" s="39">
        <f t="shared" si="3"/>
        <v>1999696531.5497999</v>
      </c>
      <c r="G8" s="39">
        <f t="shared" si="3"/>
        <v>1999696531.5497999</v>
      </c>
      <c r="H8" s="39">
        <f t="shared" si="3"/>
        <v>1999696531.5497999</v>
      </c>
      <c r="I8" s="39">
        <f t="shared" si="3"/>
        <v>1999696531.5497999</v>
      </c>
      <c r="J8" s="39">
        <f t="shared" si="3"/>
        <v>1999696531.5497999</v>
      </c>
      <c r="K8" s="39">
        <f t="shared" si="3"/>
        <v>1999696531.5497999</v>
      </c>
      <c r="L8" s="39">
        <f t="shared" si="3"/>
        <v>1999696531.5497999</v>
      </c>
      <c r="M8" s="39">
        <f t="shared" si="3"/>
        <v>1999696531.5497999</v>
      </c>
      <c r="N8" s="39">
        <f t="shared" si="3"/>
        <v>1999696531.5497999</v>
      </c>
      <c r="O8" s="40">
        <f t="shared" ref="O8:O9" si="4">SUM(C8:N8)</f>
        <v>23996358378.597607</v>
      </c>
      <c r="P8" s="40">
        <f t="shared" ref="P8:S9" si="5">P5-P11</f>
        <v>25052198147.255898</v>
      </c>
      <c r="Q8" s="40">
        <f t="shared" si="5"/>
        <v>27056373999.036373</v>
      </c>
      <c r="R8" s="40">
        <f t="shared" si="5"/>
        <v>28717075575.528954</v>
      </c>
      <c r="S8" s="40">
        <f t="shared" si="5"/>
        <v>31014441621.57127</v>
      </c>
    </row>
    <row r="9" spans="1:19" s="11" customFormat="1" ht="16.149999999999999" customHeight="1" x14ac:dyDescent="0.3">
      <c r="A9" s="121" t="s">
        <v>153</v>
      </c>
      <c r="B9" s="43" t="s">
        <v>149</v>
      </c>
      <c r="C9" s="39">
        <f t="shared" si="3"/>
        <v>0</v>
      </c>
      <c r="D9" s="39">
        <f t="shared" si="3"/>
        <v>0</v>
      </c>
      <c r="E9" s="39">
        <f t="shared" si="3"/>
        <v>0</v>
      </c>
      <c r="F9" s="39">
        <f t="shared" si="3"/>
        <v>0</v>
      </c>
      <c r="G9" s="39">
        <f t="shared" si="3"/>
        <v>0</v>
      </c>
      <c r="H9" s="39">
        <f t="shared" si="3"/>
        <v>0</v>
      </c>
      <c r="I9" s="39">
        <f t="shared" si="3"/>
        <v>0</v>
      </c>
      <c r="J9" s="39">
        <f t="shared" si="3"/>
        <v>0</v>
      </c>
      <c r="K9" s="39">
        <f t="shared" si="3"/>
        <v>0</v>
      </c>
      <c r="L9" s="39">
        <f t="shared" si="3"/>
        <v>0</v>
      </c>
      <c r="M9" s="39">
        <f t="shared" si="3"/>
        <v>0</v>
      </c>
      <c r="N9" s="39">
        <f t="shared" si="3"/>
        <v>0</v>
      </c>
      <c r="O9" s="40">
        <f t="shared" si="4"/>
        <v>0</v>
      </c>
      <c r="P9" s="40">
        <f t="shared" si="5"/>
        <v>0</v>
      </c>
      <c r="Q9" s="40">
        <f t="shared" si="5"/>
        <v>0</v>
      </c>
      <c r="R9" s="40">
        <f t="shared" si="5"/>
        <v>0</v>
      </c>
      <c r="S9" s="40">
        <f t="shared" si="5"/>
        <v>0</v>
      </c>
    </row>
    <row r="10" spans="1:19" s="3" customFormat="1" ht="16.149999999999999" customHeight="1" thickBot="1" x14ac:dyDescent="0.35">
      <c r="A10" s="124"/>
      <c r="B10" s="44" t="s">
        <v>150</v>
      </c>
      <c r="C10" s="45">
        <f t="shared" ref="C10:S10" ca="1" si="6">SUM(OFFSET(C7,1,0,ROW($B10)-ROW($B7)-1,1))</f>
        <v>1999696531.5497999</v>
      </c>
      <c r="D10" s="45">
        <f t="shared" ca="1" si="6"/>
        <v>1999696531.5497999</v>
      </c>
      <c r="E10" s="45">
        <f t="shared" ca="1" si="6"/>
        <v>1999696531.5497999</v>
      </c>
      <c r="F10" s="45">
        <f t="shared" ca="1" si="6"/>
        <v>1999696531.5497999</v>
      </c>
      <c r="G10" s="45">
        <f t="shared" ca="1" si="6"/>
        <v>1999696531.5497999</v>
      </c>
      <c r="H10" s="45">
        <f t="shared" ca="1" si="6"/>
        <v>1999696531.5497999</v>
      </c>
      <c r="I10" s="45">
        <f t="shared" ca="1" si="6"/>
        <v>1999696531.5497999</v>
      </c>
      <c r="J10" s="45">
        <f t="shared" ca="1" si="6"/>
        <v>1999696531.5497999</v>
      </c>
      <c r="K10" s="45">
        <f t="shared" ca="1" si="6"/>
        <v>1999696531.5497999</v>
      </c>
      <c r="L10" s="45">
        <f t="shared" ca="1" si="6"/>
        <v>1999696531.5497999</v>
      </c>
      <c r="M10" s="45">
        <f t="shared" ca="1" si="6"/>
        <v>1999696531.5497999</v>
      </c>
      <c r="N10" s="45">
        <f t="shared" ca="1" si="6"/>
        <v>1999696531.5497999</v>
      </c>
      <c r="O10" s="45">
        <f t="shared" ca="1" si="6"/>
        <v>23996358378.597607</v>
      </c>
      <c r="P10" s="45">
        <f t="shared" ca="1" si="6"/>
        <v>25052198147.255898</v>
      </c>
      <c r="Q10" s="45">
        <f t="shared" ca="1" si="6"/>
        <v>27056373999.036373</v>
      </c>
      <c r="R10" s="45">
        <f t="shared" ca="1" si="6"/>
        <v>28717075575.528954</v>
      </c>
      <c r="S10" s="45">
        <f t="shared" ca="1" si="6"/>
        <v>31014441621.57127</v>
      </c>
    </row>
    <row r="11" spans="1:19" s="11" customFormat="1" ht="16.149999999999999" customHeight="1" x14ac:dyDescent="0.3">
      <c r="A11" s="124"/>
      <c r="B11" s="43" t="s">
        <v>148</v>
      </c>
      <c r="C11" s="39">
        <f t="shared" ref="C11:N12" si="7">C5*C14</f>
        <v>1333131021.0332003</v>
      </c>
      <c r="D11" s="39">
        <f t="shared" si="7"/>
        <v>1333131021.0332003</v>
      </c>
      <c r="E11" s="39">
        <f t="shared" si="7"/>
        <v>1333131021.0332003</v>
      </c>
      <c r="F11" s="39">
        <f t="shared" si="7"/>
        <v>1333131021.0332003</v>
      </c>
      <c r="G11" s="39">
        <f t="shared" si="7"/>
        <v>1333131021.0332003</v>
      </c>
      <c r="H11" s="39">
        <f t="shared" si="7"/>
        <v>1333131021.0332003</v>
      </c>
      <c r="I11" s="39">
        <f t="shared" si="7"/>
        <v>1333131021.0332003</v>
      </c>
      <c r="J11" s="39">
        <f t="shared" si="7"/>
        <v>1333131021.0332003</v>
      </c>
      <c r="K11" s="39">
        <f t="shared" si="7"/>
        <v>1333131021.0332003</v>
      </c>
      <c r="L11" s="39">
        <f t="shared" si="7"/>
        <v>1333131021.0332003</v>
      </c>
      <c r="M11" s="39">
        <f t="shared" si="7"/>
        <v>1333131021.0332003</v>
      </c>
      <c r="N11" s="39">
        <f t="shared" si="7"/>
        <v>1333131021.0332003</v>
      </c>
      <c r="O11" s="40">
        <f t="shared" ref="O11:O12" si="8">SUM(C11:N11)</f>
        <v>15997572252.398399</v>
      </c>
      <c r="P11" s="40">
        <f t="shared" ref="P11:S11" si="9">P5*P14</f>
        <v>18141246934.219788</v>
      </c>
      <c r="Q11" s="40">
        <f t="shared" si="9"/>
        <v>19592546688.957371</v>
      </c>
      <c r="R11" s="40">
        <f t="shared" si="9"/>
        <v>21663758767.504295</v>
      </c>
      <c r="S11" s="40">
        <f t="shared" si="9"/>
        <v>23396859468.904644</v>
      </c>
    </row>
    <row r="12" spans="1:19" s="11" customFormat="1" ht="16.149999999999999" customHeight="1" x14ac:dyDescent="0.3">
      <c r="A12" s="124"/>
      <c r="B12" s="43" t="s">
        <v>149</v>
      </c>
      <c r="C12" s="39">
        <f t="shared" si="7"/>
        <v>0</v>
      </c>
      <c r="D12" s="39">
        <f t="shared" si="7"/>
        <v>0</v>
      </c>
      <c r="E12" s="39">
        <f t="shared" si="7"/>
        <v>0</v>
      </c>
      <c r="F12" s="39">
        <f t="shared" si="7"/>
        <v>0</v>
      </c>
      <c r="G12" s="39">
        <f t="shared" si="7"/>
        <v>0</v>
      </c>
      <c r="H12" s="39">
        <f t="shared" si="7"/>
        <v>0</v>
      </c>
      <c r="I12" s="39">
        <f t="shared" si="7"/>
        <v>0</v>
      </c>
      <c r="J12" s="39">
        <f t="shared" si="7"/>
        <v>0</v>
      </c>
      <c r="K12" s="39">
        <f t="shared" si="7"/>
        <v>0</v>
      </c>
      <c r="L12" s="39">
        <f t="shared" si="7"/>
        <v>0</v>
      </c>
      <c r="M12" s="39">
        <f t="shared" si="7"/>
        <v>0</v>
      </c>
      <c r="N12" s="39">
        <f t="shared" si="7"/>
        <v>0</v>
      </c>
      <c r="O12" s="40">
        <f t="shared" si="8"/>
        <v>0</v>
      </c>
      <c r="P12" s="40">
        <f t="shared" ref="P12:S12" si="10">P6*P15</f>
        <v>0</v>
      </c>
      <c r="Q12" s="40">
        <f t="shared" si="10"/>
        <v>0</v>
      </c>
      <c r="R12" s="40">
        <f t="shared" si="10"/>
        <v>0</v>
      </c>
      <c r="S12" s="40">
        <f t="shared" si="10"/>
        <v>0</v>
      </c>
    </row>
    <row r="13" spans="1:19" s="3" customFormat="1" ht="16.149999999999999" customHeight="1" thickBot="1" x14ac:dyDescent="0.35">
      <c r="A13" s="124"/>
      <c r="B13" s="44" t="s">
        <v>151</v>
      </c>
      <c r="C13" s="45">
        <f t="shared" ref="C13:S13" ca="1" si="11">SUM(OFFSET(C10,1,0,ROW($B13)-ROW($B10)-1,1))</f>
        <v>1333131021.0332003</v>
      </c>
      <c r="D13" s="45">
        <f t="shared" ca="1" si="11"/>
        <v>1333131021.0332003</v>
      </c>
      <c r="E13" s="45">
        <f t="shared" ca="1" si="11"/>
        <v>1333131021.0332003</v>
      </c>
      <c r="F13" s="45">
        <f t="shared" ca="1" si="11"/>
        <v>1333131021.0332003</v>
      </c>
      <c r="G13" s="45">
        <f t="shared" ca="1" si="11"/>
        <v>1333131021.0332003</v>
      </c>
      <c r="H13" s="45">
        <f t="shared" ca="1" si="11"/>
        <v>1333131021.0332003</v>
      </c>
      <c r="I13" s="45">
        <f t="shared" ca="1" si="11"/>
        <v>1333131021.0332003</v>
      </c>
      <c r="J13" s="45">
        <f t="shared" ca="1" si="11"/>
        <v>1333131021.0332003</v>
      </c>
      <c r="K13" s="45">
        <f t="shared" ca="1" si="11"/>
        <v>1333131021.0332003</v>
      </c>
      <c r="L13" s="45">
        <f t="shared" ca="1" si="11"/>
        <v>1333131021.0332003</v>
      </c>
      <c r="M13" s="45">
        <f t="shared" ca="1" si="11"/>
        <v>1333131021.0332003</v>
      </c>
      <c r="N13" s="45">
        <f t="shared" ca="1" si="11"/>
        <v>1333131021.0332003</v>
      </c>
      <c r="O13" s="45">
        <f t="shared" ca="1" si="11"/>
        <v>15997572252.398399</v>
      </c>
      <c r="P13" s="45">
        <f t="shared" ca="1" si="11"/>
        <v>18141246934.219788</v>
      </c>
      <c r="Q13" s="45">
        <f t="shared" ca="1" si="11"/>
        <v>19592546688.957371</v>
      </c>
      <c r="R13" s="45">
        <f t="shared" ca="1" si="11"/>
        <v>21663758767.504295</v>
      </c>
      <c r="S13" s="45">
        <f t="shared" ca="1" si="11"/>
        <v>23396859468.904644</v>
      </c>
    </row>
    <row r="14" spans="1:19" s="46" customFormat="1" ht="16.149999999999999" customHeight="1" x14ac:dyDescent="0.25">
      <c r="A14" s="125"/>
      <c r="B14" s="46" t="s">
        <v>148</v>
      </c>
      <c r="C14" s="47">
        <v>0.4</v>
      </c>
      <c r="D14" s="160">
        <v>0.4</v>
      </c>
      <c r="E14" s="160">
        <v>0.4</v>
      </c>
      <c r="F14" s="160">
        <v>0.4</v>
      </c>
      <c r="G14" s="160">
        <v>0.4</v>
      </c>
      <c r="H14" s="160">
        <v>0.4</v>
      </c>
      <c r="I14" s="160">
        <v>0.4</v>
      </c>
      <c r="J14" s="160">
        <v>0.4</v>
      </c>
      <c r="K14" s="160">
        <v>0.4</v>
      </c>
      <c r="L14" s="160">
        <v>0.4</v>
      </c>
      <c r="M14" s="160">
        <v>0.4</v>
      </c>
      <c r="N14" s="160">
        <v>0.4</v>
      </c>
      <c r="O14" s="48">
        <v>0.4</v>
      </c>
      <c r="P14" s="48">
        <v>0.42</v>
      </c>
      <c r="Q14" s="48">
        <v>0.42</v>
      </c>
      <c r="R14" s="48">
        <v>0.43</v>
      </c>
      <c r="S14" s="48">
        <v>0.43</v>
      </c>
    </row>
    <row r="15" spans="1:19" s="46" customFormat="1" ht="16.149999999999999" customHeight="1" x14ac:dyDescent="0.25">
      <c r="A15" s="125"/>
      <c r="B15" s="46" t="s">
        <v>149</v>
      </c>
      <c r="C15" s="47">
        <v>1</v>
      </c>
      <c r="D15" s="47">
        <v>1</v>
      </c>
      <c r="E15" s="47">
        <v>1</v>
      </c>
      <c r="F15" s="47">
        <v>1</v>
      </c>
      <c r="G15" s="47">
        <v>1</v>
      </c>
      <c r="H15" s="47">
        <v>1</v>
      </c>
      <c r="I15" s="47">
        <v>1</v>
      </c>
      <c r="J15" s="47">
        <v>1</v>
      </c>
      <c r="K15" s="47">
        <v>1</v>
      </c>
      <c r="L15" s="47">
        <v>1</v>
      </c>
      <c r="M15" s="47">
        <v>1</v>
      </c>
      <c r="N15" s="47">
        <v>1</v>
      </c>
      <c r="O15" s="48">
        <f>IF(O6=0,0,O12/O6)</f>
        <v>0</v>
      </c>
      <c r="P15" s="48">
        <v>1</v>
      </c>
      <c r="Q15" s="48">
        <v>1</v>
      </c>
      <c r="R15" s="48">
        <v>1</v>
      </c>
      <c r="S15" s="48">
        <v>1</v>
      </c>
    </row>
    <row r="16" spans="1:19" s="49" customFormat="1" ht="16.149999999999999" customHeight="1" thickBot="1" x14ac:dyDescent="0.3">
      <c r="A16" s="126"/>
      <c r="B16" s="49" t="s">
        <v>2</v>
      </c>
      <c r="C16" s="50">
        <f t="shared" ref="C16:S16" ca="1" si="12">IF(C7=0,0,C13/C7)</f>
        <v>0.40000000000000008</v>
      </c>
      <c r="D16" s="50">
        <f t="shared" ca="1" si="12"/>
        <v>0.40000000000000008</v>
      </c>
      <c r="E16" s="50">
        <f t="shared" ca="1" si="12"/>
        <v>0.40000000000000008</v>
      </c>
      <c r="F16" s="50">
        <f t="shared" ca="1" si="12"/>
        <v>0.40000000000000008</v>
      </c>
      <c r="G16" s="50">
        <f t="shared" ca="1" si="12"/>
        <v>0.40000000000000008</v>
      </c>
      <c r="H16" s="50">
        <f t="shared" ca="1" si="12"/>
        <v>0.40000000000000008</v>
      </c>
      <c r="I16" s="50">
        <f t="shared" ca="1" si="12"/>
        <v>0.40000000000000008</v>
      </c>
      <c r="J16" s="50">
        <f t="shared" ca="1" si="12"/>
        <v>0.40000000000000008</v>
      </c>
      <c r="K16" s="50">
        <f t="shared" ca="1" si="12"/>
        <v>0.40000000000000008</v>
      </c>
      <c r="L16" s="50">
        <f t="shared" ca="1" si="12"/>
        <v>0.40000000000000008</v>
      </c>
      <c r="M16" s="50">
        <f t="shared" ca="1" si="12"/>
        <v>0.40000000000000008</v>
      </c>
      <c r="N16" s="50">
        <f t="shared" ca="1" si="12"/>
        <v>0.40000000000000008</v>
      </c>
      <c r="O16" s="50">
        <f t="shared" ca="1" si="12"/>
        <v>0.39999999999999997</v>
      </c>
      <c r="P16" s="50">
        <f t="shared" ca="1" si="12"/>
        <v>0.42</v>
      </c>
      <c r="Q16" s="50">
        <f t="shared" ca="1" si="12"/>
        <v>0.42</v>
      </c>
      <c r="R16" s="50">
        <f t="shared" ca="1" si="12"/>
        <v>0.43</v>
      </c>
      <c r="S16" s="50">
        <f t="shared" ca="1" si="12"/>
        <v>0.43</v>
      </c>
    </row>
    <row r="17" spans="1:19" s="11" customFormat="1" ht="16.149999999999999" customHeight="1" x14ac:dyDescent="0.3">
      <c r="A17" s="123"/>
      <c r="B17" s="43" t="s">
        <v>239</v>
      </c>
      <c r="C17" s="39">
        <v>0</v>
      </c>
      <c r="D17" s="39">
        <v>0</v>
      </c>
      <c r="E17" s="39">
        <v>0</v>
      </c>
      <c r="F17" s="39">
        <v>0</v>
      </c>
      <c r="G17" s="39">
        <v>0</v>
      </c>
      <c r="H17" s="39">
        <v>0</v>
      </c>
      <c r="I17" s="39">
        <v>0</v>
      </c>
      <c r="J17" s="39">
        <v>0</v>
      </c>
      <c r="K17" s="39">
        <v>0</v>
      </c>
      <c r="L17" s="39">
        <v>0</v>
      </c>
      <c r="M17" s="39">
        <v>0</v>
      </c>
      <c r="N17" s="39">
        <v>0</v>
      </c>
      <c r="O17" s="40">
        <f t="shared" ref="O17" si="13">SUM(C17:N17)</f>
        <v>0</v>
      </c>
      <c r="P17" s="40">
        <f>O17*(1+Assumptions!D$10)</f>
        <v>0</v>
      </c>
      <c r="Q17" s="40">
        <f>P17*(1+Assumptions!E$10)</f>
        <v>0</v>
      </c>
      <c r="R17" s="40">
        <f>Q17*(1+Assumptions!F$10)</f>
        <v>0</v>
      </c>
      <c r="S17" s="40">
        <f>R17*(1+Assumptions!G$10)</f>
        <v>0</v>
      </c>
    </row>
    <row r="18" spans="1:19" ht="16.149999999999999" customHeight="1" x14ac:dyDescent="0.3">
      <c r="B18" s="2" t="s">
        <v>154</v>
      </c>
      <c r="C18" s="39"/>
      <c r="D18" s="39"/>
      <c r="E18" s="39"/>
      <c r="F18" s="39"/>
      <c r="G18" s="51"/>
      <c r="H18" s="51"/>
      <c r="I18" s="51"/>
      <c r="J18" s="51"/>
      <c r="K18" s="51"/>
      <c r="L18" s="51"/>
      <c r="M18" s="51"/>
      <c r="N18" s="51"/>
      <c r="O18" s="52"/>
      <c r="P18" s="52"/>
      <c r="Q18" s="52"/>
      <c r="R18" s="52"/>
      <c r="S18" s="52"/>
    </row>
    <row r="19" spans="1:19" s="11" customFormat="1" ht="16.149999999999999" customHeight="1" x14ac:dyDescent="0.3">
      <c r="A19" s="123" t="s">
        <v>152</v>
      </c>
      <c r="B19" s="43" t="s">
        <v>3</v>
      </c>
      <c r="C19" s="39">
        <v>0</v>
      </c>
      <c r="D19" s="39">
        <v>0</v>
      </c>
      <c r="E19" s="39">
        <v>0</v>
      </c>
      <c r="F19" s="39">
        <v>0</v>
      </c>
      <c r="G19" s="39">
        <v>0</v>
      </c>
      <c r="H19" s="39">
        <v>0</v>
      </c>
      <c r="I19" s="39">
        <v>0</v>
      </c>
      <c r="J19" s="39">
        <v>0</v>
      </c>
      <c r="K19" s="39">
        <v>0</v>
      </c>
      <c r="L19" s="39">
        <v>0</v>
      </c>
      <c r="M19" s="39">
        <v>0</v>
      </c>
      <c r="N19" s="39">
        <v>0</v>
      </c>
      <c r="O19" s="40">
        <f t="shared" ref="O19:O40" si="14">SUM(C19:N19)</f>
        <v>0</v>
      </c>
      <c r="P19" s="40">
        <f>O19*(1+Assumptions!D$18)</f>
        <v>0</v>
      </c>
      <c r="Q19" s="40">
        <f>P19*(1+Assumptions!E$18)</f>
        <v>0</v>
      </c>
      <c r="R19" s="40">
        <f>Q19*(1+Assumptions!F$18)</f>
        <v>0</v>
      </c>
      <c r="S19" s="40">
        <f>R19*(1+Assumptions!G$18)</f>
        <v>0</v>
      </c>
    </row>
    <row r="20" spans="1:19" s="11" customFormat="1" ht="16.149999999999999" customHeight="1" x14ac:dyDescent="0.3">
      <c r="A20" s="123" t="s">
        <v>152</v>
      </c>
      <c r="B20" s="43" t="s">
        <v>15</v>
      </c>
      <c r="C20" s="159">
        <v>8800000</v>
      </c>
      <c r="D20" s="159">
        <v>8800000</v>
      </c>
      <c r="E20" s="159">
        <v>8800000</v>
      </c>
      <c r="F20" s="159">
        <v>8800000</v>
      </c>
      <c r="G20" s="159">
        <v>8800000</v>
      </c>
      <c r="H20" s="159">
        <v>8800000</v>
      </c>
      <c r="I20" s="159">
        <v>8800000</v>
      </c>
      <c r="J20" s="159">
        <v>8800000</v>
      </c>
      <c r="K20" s="159">
        <v>8800000</v>
      </c>
      <c r="L20" s="159">
        <v>8800000</v>
      </c>
      <c r="M20" s="159">
        <v>8800000</v>
      </c>
      <c r="N20" s="159">
        <v>8800000</v>
      </c>
      <c r="O20" s="40">
        <f t="shared" si="14"/>
        <v>105600000</v>
      </c>
      <c r="P20" s="40">
        <f>O20*(1+Assumptions!D$18)</f>
        <v>111936000</v>
      </c>
      <c r="Q20" s="40">
        <f>P20*(1+Assumptions!E$18)</f>
        <v>118652160</v>
      </c>
      <c r="R20" s="40">
        <f>Q20*(1+Assumptions!F$18)</f>
        <v>125771289.60000001</v>
      </c>
      <c r="S20" s="40">
        <f>R20*(1+Assumptions!G$18)</f>
        <v>133317566.97600001</v>
      </c>
    </row>
    <row r="21" spans="1:19" s="11" customFormat="1" ht="16.149999999999999" customHeight="1" x14ac:dyDescent="0.3">
      <c r="A21" s="123" t="s">
        <v>153</v>
      </c>
      <c r="B21" s="43" t="s">
        <v>4</v>
      </c>
      <c r="C21" s="39">
        <v>0</v>
      </c>
      <c r="D21" s="39">
        <v>0</v>
      </c>
      <c r="E21" s="39">
        <v>0</v>
      </c>
      <c r="F21" s="39">
        <v>0</v>
      </c>
      <c r="G21" s="39">
        <v>0</v>
      </c>
      <c r="H21" s="39">
        <v>0</v>
      </c>
      <c r="I21" s="39">
        <v>0</v>
      </c>
      <c r="J21" s="39">
        <v>0</v>
      </c>
      <c r="K21" s="39">
        <v>0</v>
      </c>
      <c r="L21" s="39">
        <v>0</v>
      </c>
      <c r="M21" s="39">
        <v>0</v>
      </c>
      <c r="N21" s="39">
        <v>0</v>
      </c>
      <c r="O21" s="40">
        <f t="shared" si="14"/>
        <v>0</v>
      </c>
      <c r="P21" s="40">
        <f>O21*(1+Assumptions!D$18)</f>
        <v>0</v>
      </c>
      <c r="Q21" s="40">
        <f>P21*(1+Assumptions!E$18)</f>
        <v>0</v>
      </c>
      <c r="R21" s="40">
        <f>Q21*(1+Assumptions!F$18)</f>
        <v>0</v>
      </c>
      <c r="S21" s="40">
        <f>R21*(1+Assumptions!G$18)</f>
        <v>0</v>
      </c>
    </row>
    <row r="22" spans="1:19" s="11" customFormat="1" ht="16.149999999999999" customHeight="1" x14ac:dyDescent="0.3">
      <c r="A22" s="123" t="s">
        <v>153</v>
      </c>
      <c r="B22" s="43" t="s">
        <v>16</v>
      </c>
      <c r="C22" s="39">
        <v>0</v>
      </c>
      <c r="D22" s="39">
        <v>0</v>
      </c>
      <c r="E22" s="39">
        <v>0</v>
      </c>
      <c r="F22" s="39">
        <v>0</v>
      </c>
      <c r="G22" s="39">
        <v>0</v>
      </c>
      <c r="H22" s="39">
        <v>0</v>
      </c>
      <c r="I22" s="39">
        <v>0</v>
      </c>
      <c r="J22" s="39">
        <v>0</v>
      </c>
      <c r="K22" s="39">
        <v>0</v>
      </c>
      <c r="L22" s="39">
        <v>0</v>
      </c>
      <c r="M22" s="39">
        <v>0</v>
      </c>
      <c r="N22" s="39">
        <v>0</v>
      </c>
      <c r="O22" s="40">
        <f t="shared" si="14"/>
        <v>0</v>
      </c>
      <c r="P22" s="40">
        <f>O22*(1+Assumptions!D$18)</f>
        <v>0</v>
      </c>
      <c r="Q22" s="40">
        <f>P22*(1+Assumptions!E$18)</f>
        <v>0</v>
      </c>
      <c r="R22" s="40">
        <f>Q22*(1+Assumptions!F$18)</f>
        <v>0</v>
      </c>
      <c r="S22" s="40">
        <f>R22*(1+Assumptions!G$18)</f>
        <v>0</v>
      </c>
    </row>
    <row r="23" spans="1:19" s="11" customFormat="1" ht="16.149999999999999" customHeight="1" x14ac:dyDescent="0.3">
      <c r="A23" s="123" t="s">
        <v>153</v>
      </c>
      <c r="B23" s="43" t="s">
        <v>5</v>
      </c>
      <c r="C23" s="39">
        <v>0</v>
      </c>
      <c r="D23" s="39">
        <v>0</v>
      </c>
      <c r="E23" s="39">
        <v>0</v>
      </c>
      <c r="F23" s="39">
        <v>0</v>
      </c>
      <c r="G23" s="39">
        <v>0</v>
      </c>
      <c r="H23" s="39">
        <v>0</v>
      </c>
      <c r="I23" s="39">
        <v>0</v>
      </c>
      <c r="J23" s="39">
        <v>0</v>
      </c>
      <c r="K23" s="39">
        <v>0</v>
      </c>
      <c r="L23" s="39">
        <v>0</v>
      </c>
      <c r="M23" s="39">
        <v>0</v>
      </c>
      <c r="N23" s="39">
        <v>0</v>
      </c>
      <c r="O23" s="40">
        <f t="shared" si="14"/>
        <v>0</v>
      </c>
      <c r="P23" s="40">
        <f>O23*(1+Assumptions!D$18)</f>
        <v>0</v>
      </c>
      <c r="Q23" s="40">
        <f>P23*(1+Assumptions!E$18)</f>
        <v>0</v>
      </c>
      <c r="R23" s="40">
        <f>Q23*(1+Assumptions!F$18)</f>
        <v>0</v>
      </c>
      <c r="S23" s="40">
        <f>R23*(1+Assumptions!G$18)</f>
        <v>0</v>
      </c>
    </row>
    <row r="24" spans="1:19" s="11" customFormat="1" ht="16.149999999999999" customHeight="1" x14ac:dyDescent="0.3">
      <c r="A24" s="123" t="s">
        <v>153</v>
      </c>
      <c r="B24" s="43" t="s">
        <v>22</v>
      </c>
      <c r="C24" s="39">
        <v>0</v>
      </c>
      <c r="D24" s="39">
        <v>0</v>
      </c>
      <c r="E24" s="39">
        <v>0</v>
      </c>
      <c r="F24" s="39">
        <v>0</v>
      </c>
      <c r="G24" s="39">
        <v>0</v>
      </c>
      <c r="H24" s="39">
        <v>0</v>
      </c>
      <c r="I24" s="39">
        <v>0</v>
      </c>
      <c r="J24" s="39">
        <v>0</v>
      </c>
      <c r="K24" s="39">
        <v>0</v>
      </c>
      <c r="L24" s="39">
        <v>0</v>
      </c>
      <c r="M24" s="39">
        <v>0</v>
      </c>
      <c r="N24" s="39">
        <v>0</v>
      </c>
      <c r="O24" s="40">
        <f t="shared" si="14"/>
        <v>0</v>
      </c>
      <c r="P24" s="40">
        <f>O24*(1+Assumptions!D$18)</f>
        <v>0</v>
      </c>
      <c r="Q24" s="40">
        <f>P24*(1+Assumptions!E$18)</f>
        <v>0</v>
      </c>
      <c r="R24" s="40">
        <f>Q24*(1+Assumptions!F$18)</f>
        <v>0</v>
      </c>
      <c r="S24" s="40">
        <f>R24*(1+Assumptions!G$18)</f>
        <v>0</v>
      </c>
    </row>
    <row r="25" spans="1:19" s="11" customFormat="1" ht="16.149999999999999" customHeight="1" x14ac:dyDescent="0.3">
      <c r="A25" s="123" t="s">
        <v>153</v>
      </c>
      <c r="B25" s="43" t="s">
        <v>7</v>
      </c>
      <c r="C25" s="39">
        <v>0</v>
      </c>
      <c r="D25" s="39">
        <v>0</v>
      </c>
      <c r="E25" s="39">
        <v>0</v>
      </c>
      <c r="F25" s="39">
        <v>0</v>
      </c>
      <c r="G25" s="39">
        <v>0</v>
      </c>
      <c r="H25" s="39">
        <v>0</v>
      </c>
      <c r="I25" s="39">
        <v>0</v>
      </c>
      <c r="J25" s="39">
        <v>0</v>
      </c>
      <c r="K25" s="39">
        <v>0</v>
      </c>
      <c r="L25" s="39">
        <v>0</v>
      </c>
      <c r="M25" s="39">
        <v>0</v>
      </c>
      <c r="N25" s="39">
        <v>0</v>
      </c>
      <c r="O25" s="40">
        <f t="shared" si="14"/>
        <v>0</v>
      </c>
      <c r="P25" s="40">
        <f>O25*(1+Assumptions!D$18)</f>
        <v>0</v>
      </c>
      <c r="Q25" s="40">
        <f>P25*(1+Assumptions!E$18)</f>
        <v>0</v>
      </c>
      <c r="R25" s="40">
        <f>Q25*(1+Assumptions!F$18)</f>
        <v>0</v>
      </c>
      <c r="S25" s="40">
        <f>R25*(1+Assumptions!G$18)</f>
        <v>0</v>
      </c>
    </row>
    <row r="26" spans="1:19" s="11" customFormat="1" ht="16.149999999999999" customHeight="1" x14ac:dyDescent="0.3">
      <c r="A26" s="123" t="s">
        <v>153</v>
      </c>
      <c r="B26" s="43" t="s">
        <v>8</v>
      </c>
      <c r="C26" s="39">
        <v>0</v>
      </c>
      <c r="D26" s="39">
        <v>0</v>
      </c>
      <c r="E26" s="39">
        <v>0</v>
      </c>
      <c r="F26" s="39">
        <v>0</v>
      </c>
      <c r="G26" s="39">
        <v>0</v>
      </c>
      <c r="H26" s="39">
        <v>0</v>
      </c>
      <c r="I26" s="39">
        <v>0</v>
      </c>
      <c r="J26" s="39">
        <v>0</v>
      </c>
      <c r="K26" s="39">
        <v>0</v>
      </c>
      <c r="L26" s="39">
        <v>0</v>
      </c>
      <c r="M26" s="39">
        <v>0</v>
      </c>
      <c r="N26" s="39">
        <v>0</v>
      </c>
      <c r="O26" s="40">
        <f t="shared" si="14"/>
        <v>0</v>
      </c>
      <c r="P26" s="40">
        <f>O26*(1+Assumptions!D$18)</f>
        <v>0</v>
      </c>
      <c r="Q26" s="40">
        <f>P26*(1+Assumptions!E$18)</f>
        <v>0</v>
      </c>
      <c r="R26" s="40">
        <f>Q26*(1+Assumptions!F$18)</f>
        <v>0</v>
      </c>
      <c r="S26" s="40">
        <f>R26*(1+Assumptions!G$18)</f>
        <v>0</v>
      </c>
    </row>
    <row r="27" spans="1:19" s="11" customFormat="1" ht="16.149999999999999" customHeight="1" x14ac:dyDescent="0.3">
      <c r="A27" s="123" t="s">
        <v>152</v>
      </c>
      <c r="B27" s="43" t="s">
        <v>20</v>
      </c>
      <c r="C27" s="39">
        <v>0</v>
      </c>
      <c r="D27" s="39">
        <v>0</v>
      </c>
      <c r="E27" s="39">
        <v>0</v>
      </c>
      <c r="F27" s="39">
        <v>0</v>
      </c>
      <c r="G27" s="39">
        <v>0</v>
      </c>
      <c r="H27" s="39">
        <v>0</v>
      </c>
      <c r="I27" s="39">
        <v>0</v>
      </c>
      <c r="J27" s="39">
        <v>0</v>
      </c>
      <c r="K27" s="39">
        <v>0</v>
      </c>
      <c r="L27" s="39">
        <v>0</v>
      </c>
      <c r="M27" s="39">
        <v>0</v>
      </c>
      <c r="N27" s="39">
        <v>0</v>
      </c>
      <c r="O27" s="40">
        <f t="shared" si="14"/>
        <v>0</v>
      </c>
      <c r="P27" s="40">
        <f>O27*(1+Assumptions!D$18)</f>
        <v>0</v>
      </c>
      <c r="Q27" s="40">
        <f>P27*(1+Assumptions!E$18)</f>
        <v>0</v>
      </c>
      <c r="R27" s="40">
        <f>Q27*(1+Assumptions!F$18)</f>
        <v>0</v>
      </c>
      <c r="S27" s="40">
        <f>R27*(1+Assumptions!G$18)</f>
        <v>0</v>
      </c>
    </row>
    <row r="28" spans="1:19" s="11" customFormat="1" ht="16.149999999999999" customHeight="1" x14ac:dyDescent="0.3">
      <c r="A28" s="123" t="s">
        <v>153</v>
      </c>
      <c r="B28" s="43" t="s">
        <v>9</v>
      </c>
      <c r="C28" s="39">
        <v>0</v>
      </c>
      <c r="D28" s="39">
        <v>0</v>
      </c>
      <c r="E28" s="39">
        <v>0</v>
      </c>
      <c r="F28" s="39">
        <v>0</v>
      </c>
      <c r="G28" s="39">
        <v>0</v>
      </c>
      <c r="H28" s="39">
        <v>0</v>
      </c>
      <c r="I28" s="39">
        <v>0</v>
      </c>
      <c r="J28" s="39">
        <v>0</v>
      </c>
      <c r="K28" s="39">
        <v>0</v>
      </c>
      <c r="L28" s="39">
        <v>0</v>
      </c>
      <c r="M28" s="39">
        <v>0</v>
      </c>
      <c r="N28" s="39">
        <v>0</v>
      </c>
      <c r="O28" s="40">
        <f t="shared" si="14"/>
        <v>0</v>
      </c>
      <c r="P28" s="40">
        <f>O28*(1+Assumptions!D$18)</f>
        <v>0</v>
      </c>
      <c r="Q28" s="40">
        <f>P28*(1+Assumptions!E$18)</f>
        <v>0</v>
      </c>
      <c r="R28" s="40">
        <f>Q28*(1+Assumptions!F$18)</f>
        <v>0</v>
      </c>
      <c r="S28" s="40">
        <f>R28*(1+Assumptions!G$18)</f>
        <v>0</v>
      </c>
    </row>
    <row r="29" spans="1:19" s="11" customFormat="1" ht="16.149999999999999" customHeight="1" x14ac:dyDescent="0.3">
      <c r="A29" s="123" t="s">
        <v>152</v>
      </c>
      <c r="B29" s="43" t="s">
        <v>23</v>
      </c>
      <c r="C29" s="39">
        <v>0</v>
      </c>
      <c r="D29" s="39">
        <v>0</v>
      </c>
      <c r="E29" s="39">
        <v>0</v>
      </c>
      <c r="F29" s="39">
        <v>0</v>
      </c>
      <c r="G29" s="39">
        <v>0</v>
      </c>
      <c r="H29" s="39">
        <v>0</v>
      </c>
      <c r="I29" s="39">
        <v>0</v>
      </c>
      <c r="J29" s="39">
        <v>0</v>
      </c>
      <c r="K29" s="39">
        <v>0</v>
      </c>
      <c r="L29" s="39">
        <v>0</v>
      </c>
      <c r="M29" s="39">
        <v>0</v>
      </c>
      <c r="N29" s="39">
        <v>0</v>
      </c>
      <c r="O29" s="40">
        <f t="shared" si="14"/>
        <v>0</v>
      </c>
      <c r="P29" s="40">
        <f>O29*(1+Assumptions!D$18)</f>
        <v>0</v>
      </c>
      <c r="Q29" s="40">
        <f>P29*(1+Assumptions!E$18)</f>
        <v>0</v>
      </c>
      <c r="R29" s="40">
        <f>Q29*(1+Assumptions!F$18)</f>
        <v>0</v>
      </c>
      <c r="S29" s="40">
        <f>R29*(1+Assumptions!G$18)</f>
        <v>0</v>
      </c>
    </row>
    <row r="30" spans="1:19" s="11" customFormat="1" ht="16.149999999999999" customHeight="1" x14ac:dyDescent="0.3">
      <c r="A30" s="123" t="s">
        <v>153</v>
      </c>
      <c r="B30" s="43" t="s">
        <v>19</v>
      </c>
      <c r="C30" s="39">
        <v>0</v>
      </c>
      <c r="D30" s="39">
        <v>0</v>
      </c>
      <c r="E30" s="39">
        <v>0</v>
      </c>
      <c r="F30" s="39">
        <v>0</v>
      </c>
      <c r="G30" s="39">
        <v>0</v>
      </c>
      <c r="H30" s="39">
        <v>0</v>
      </c>
      <c r="I30" s="39">
        <v>0</v>
      </c>
      <c r="J30" s="39">
        <v>0</v>
      </c>
      <c r="K30" s="39">
        <v>0</v>
      </c>
      <c r="L30" s="39">
        <v>0</v>
      </c>
      <c r="M30" s="39">
        <v>0</v>
      </c>
      <c r="N30" s="39">
        <v>0</v>
      </c>
      <c r="O30" s="40">
        <f t="shared" si="14"/>
        <v>0</v>
      </c>
      <c r="P30" s="40">
        <f>O30*(1+Assumptions!D$18)</f>
        <v>0</v>
      </c>
      <c r="Q30" s="40">
        <f>P30*(1+Assumptions!E$18)</f>
        <v>0</v>
      </c>
      <c r="R30" s="40">
        <f>Q30*(1+Assumptions!F$18)</f>
        <v>0</v>
      </c>
      <c r="S30" s="40">
        <f>R30*(1+Assumptions!G$18)</f>
        <v>0</v>
      </c>
    </row>
    <row r="31" spans="1:19" s="11" customFormat="1" ht="16.149999999999999" customHeight="1" x14ac:dyDescent="0.3">
      <c r="A31" s="123" t="s">
        <v>153</v>
      </c>
      <c r="B31" s="43" t="s">
        <v>18</v>
      </c>
      <c r="C31" s="39">
        <v>0</v>
      </c>
      <c r="D31" s="39">
        <v>0</v>
      </c>
      <c r="E31" s="39">
        <v>0</v>
      </c>
      <c r="F31" s="39">
        <v>0</v>
      </c>
      <c r="G31" s="39">
        <v>0</v>
      </c>
      <c r="H31" s="39">
        <v>0</v>
      </c>
      <c r="I31" s="39">
        <v>0</v>
      </c>
      <c r="J31" s="39">
        <v>0</v>
      </c>
      <c r="K31" s="39">
        <v>0</v>
      </c>
      <c r="L31" s="39">
        <v>0</v>
      </c>
      <c r="M31" s="39">
        <v>0</v>
      </c>
      <c r="N31" s="39">
        <v>0</v>
      </c>
      <c r="O31" s="40">
        <f t="shared" si="14"/>
        <v>0</v>
      </c>
      <c r="P31" s="40">
        <f>O31*(1+Assumptions!D$18)</f>
        <v>0</v>
      </c>
      <c r="Q31" s="40">
        <f>P31*(1+Assumptions!E$18)</f>
        <v>0</v>
      </c>
      <c r="R31" s="40">
        <f>Q31*(1+Assumptions!F$18)</f>
        <v>0</v>
      </c>
      <c r="S31" s="40">
        <f>R31*(1+Assumptions!G$18)</f>
        <v>0</v>
      </c>
    </row>
    <row r="32" spans="1:19" s="11" customFormat="1" ht="16.149999999999999" customHeight="1" x14ac:dyDescent="0.3">
      <c r="A32" s="123" t="s">
        <v>152</v>
      </c>
      <c r="B32" s="43" t="s">
        <v>10</v>
      </c>
      <c r="C32" s="39">
        <v>0</v>
      </c>
      <c r="D32" s="39">
        <v>0</v>
      </c>
      <c r="E32" s="39">
        <v>0</v>
      </c>
      <c r="F32" s="39">
        <v>0</v>
      </c>
      <c r="G32" s="39">
        <v>0</v>
      </c>
      <c r="H32" s="39">
        <v>0</v>
      </c>
      <c r="I32" s="39">
        <v>0</v>
      </c>
      <c r="J32" s="39">
        <v>0</v>
      </c>
      <c r="K32" s="39">
        <v>0</v>
      </c>
      <c r="L32" s="39">
        <v>0</v>
      </c>
      <c r="M32" s="39">
        <v>0</v>
      </c>
      <c r="N32" s="39">
        <v>0</v>
      </c>
      <c r="O32" s="40">
        <f t="shared" si="14"/>
        <v>0</v>
      </c>
      <c r="P32" s="40">
        <f>O32*(1+Assumptions!D$18)</f>
        <v>0</v>
      </c>
      <c r="Q32" s="40">
        <f>P32*(1+Assumptions!E$18)</f>
        <v>0</v>
      </c>
      <c r="R32" s="40">
        <f>Q32*(1+Assumptions!F$18)</f>
        <v>0</v>
      </c>
      <c r="S32" s="40">
        <f>R32*(1+Assumptions!G$18)</f>
        <v>0</v>
      </c>
    </row>
    <row r="33" spans="1:19" s="11" customFormat="1" ht="16.149999999999999" customHeight="1" x14ac:dyDescent="0.3">
      <c r="A33" s="123" t="s">
        <v>152</v>
      </c>
      <c r="B33" s="43" t="s">
        <v>17</v>
      </c>
      <c r="C33" s="39">
        <v>0</v>
      </c>
      <c r="D33" s="39">
        <v>0</v>
      </c>
      <c r="E33" s="39">
        <v>0</v>
      </c>
      <c r="F33" s="39">
        <v>0</v>
      </c>
      <c r="G33" s="39">
        <v>0</v>
      </c>
      <c r="H33" s="39">
        <v>0</v>
      </c>
      <c r="I33" s="39">
        <v>0</v>
      </c>
      <c r="J33" s="39">
        <v>0</v>
      </c>
      <c r="K33" s="39">
        <v>0</v>
      </c>
      <c r="L33" s="39">
        <v>0</v>
      </c>
      <c r="M33" s="39">
        <v>0</v>
      </c>
      <c r="N33" s="39">
        <v>0</v>
      </c>
      <c r="O33" s="40">
        <f t="shared" si="14"/>
        <v>0</v>
      </c>
      <c r="P33" s="40">
        <f>O33*(1+Assumptions!D$18)</f>
        <v>0</v>
      </c>
      <c r="Q33" s="40">
        <f>P33*(1+Assumptions!E$18)</f>
        <v>0</v>
      </c>
      <c r="R33" s="40">
        <f>Q33*(1+Assumptions!F$18)</f>
        <v>0</v>
      </c>
      <c r="S33" s="40">
        <f>R33*(1+Assumptions!G$18)</f>
        <v>0</v>
      </c>
    </row>
    <row r="34" spans="1:19" s="11" customFormat="1" ht="16.149999999999999" customHeight="1" x14ac:dyDescent="0.3">
      <c r="A34" s="123" t="s">
        <v>153</v>
      </c>
      <c r="B34" s="43" t="s">
        <v>11</v>
      </c>
      <c r="C34" s="39">
        <v>0</v>
      </c>
      <c r="D34" s="39">
        <v>0</v>
      </c>
      <c r="E34" s="39">
        <v>0</v>
      </c>
      <c r="F34" s="39">
        <v>0</v>
      </c>
      <c r="G34" s="39">
        <v>0</v>
      </c>
      <c r="H34" s="39">
        <v>0</v>
      </c>
      <c r="I34" s="39">
        <v>0</v>
      </c>
      <c r="J34" s="39">
        <v>0</v>
      </c>
      <c r="K34" s="39">
        <v>0</v>
      </c>
      <c r="L34" s="39">
        <v>0</v>
      </c>
      <c r="M34" s="39">
        <v>0</v>
      </c>
      <c r="N34" s="39">
        <v>0</v>
      </c>
      <c r="O34" s="40">
        <f t="shared" si="14"/>
        <v>0</v>
      </c>
      <c r="P34" s="40">
        <f>O34*(1+Assumptions!D$18)</f>
        <v>0</v>
      </c>
      <c r="Q34" s="40">
        <f>P34*(1+Assumptions!E$18)</f>
        <v>0</v>
      </c>
      <c r="R34" s="40">
        <f>Q34*(1+Assumptions!F$18)</f>
        <v>0</v>
      </c>
      <c r="S34" s="40">
        <f>R34*(1+Assumptions!G$18)</f>
        <v>0</v>
      </c>
    </row>
    <row r="35" spans="1:19" s="11" customFormat="1" ht="16.149999999999999" customHeight="1" x14ac:dyDescent="0.3">
      <c r="A35" s="123" t="s">
        <v>153</v>
      </c>
      <c r="B35" s="43" t="s">
        <v>21</v>
      </c>
      <c r="C35" s="39">
        <v>0</v>
      </c>
      <c r="D35" s="39">
        <v>0</v>
      </c>
      <c r="E35" s="39">
        <v>0</v>
      </c>
      <c r="F35" s="39">
        <v>0</v>
      </c>
      <c r="G35" s="39">
        <v>0</v>
      </c>
      <c r="H35" s="39">
        <v>0</v>
      </c>
      <c r="I35" s="39">
        <v>0</v>
      </c>
      <c r="J35" s="39">
        <v>0</v>
      </c>
      <c r="K35" s="39">
        <v>0</v>
      </c>
      <c r="L35" s="39">
        <v>0</v>
      </c>
      <c r="M35" s="39">
        <v>0</v>
      </c>
      <c r="N35" s="39">
        <v>0</v>
      </c>
      <c r="O35" s="40">
        <f t="shared" si="14"/>
        <v>0</v>
      </c>
      <c r="P35" s="40">
        <f>O35*(1+Assumptions!D$18)</f>
        <v>0</v>
      </c>
      <c r="Q35" s="40">
        <f>P35*(1+Assumptions!E$18)</f>
        <v>0</v>
      </c>
      <c r="R35" s="40">
        <f>Q35*(1+Assumptions!F$18)</f>
        <v>0</v>
      </c>
      <c r="S35" s="40">
        <f>R35*(1+Assumptions!G$18)</f>
        <v>0</v>
      </c>
    </row>
    <row r="36" spans="1:19" s="11" customFormat="1" ht="16.149999999999999" customHeight="1" x14ac:dyDescent="0.3">
      <c r="A36" s="123" t="s">
        <v>152</v>
      </c>
      <c r="B36" s="43" t="s">
        <v>12</v>
      </c>
      <c r="C36" s="39">
        <v>0</v>
      </c>
      <c r="D36" s="39">
        <v>0</v>
      </c>
      <c r="E36" s="39">
        <v>0</v>
      </c>
      <c r="F36" s="39">
        <v>0</v>
      </c>
      <c r="G36" s="39">
        <v>0</v>
      </c>
      <c r="H36" s="39">
        <v>0</v>
      </c>
      <c r="I36" s="39">
        <v>0</v>
      </c>
      <c r="J36" s="39">
        <v>0</v>
      </c>
      <c r="K36" s="39">
        <v>0</v>
      </c>
      <c r="L36" s="39">
        <v>0</v>
      </c>
      <c r="M36" s="39">
        <v>0</v>
      </c>
      <c r="N36" s="39">
        <v>0</v>
      </c>
      <c r="O36" s="40">
        <f t="shared" si="14"/>
        <v>0</v>
      </c>
      <c r="P36" s="40">
        <f>O36*(1+Assumptions!D$18)</f>
        <v>0</v>
      </c>
      <c r="Q36" s="40">
        <f>P36*(1+Assumptions!E$18)</f>
        <v>0</v>
      </c>
      <c r="R36" s="40">
        <f>Q36*(1+Assumptions!F$18)</f>
        <v>0</v>
      </c>
      <c r="S36" s="40">
        <f>R36*(1+Assumptions!G$18)</f>
        <v>0</v>
      </c>
    </row>
    <row r="37" spans="1:19" s="11" customFormat="1" ht="16.149999999999999" customHeight="1" x14ac:dyDescent="0.3">
      <c r="A37" s="123" t="s">
        <v>153</v>
      </c>
      <c r="B37" s="43" t="s">
        <v>13</v>
      </c>
      <c r="C37" s="39">
        <v>0</v>
      </c>
      <c r="D37" s="39">
        <v>0</v>
      </c>
      <c r="E37" s="39">
        <v>0</v>
      </c>
      <c r="F37" s="39">
        <v>0</v>
      </c>
      <c r="G37" s="39">
        <v>0</v>
      </c>
      <c r="H37" s="39">
        <v>0</v>
      </c>
      <c r="I37" s="39">
        <v>0</v>
      </c>
      <c r="J37" s="39">
        <v>0</v>
      </c>
      <c r="K37" s="39">
        <v>0</v>
      </c>
      <c r="L37" s="39">
        <v>0</v>
      </c>
      <c r="M37" s="39">
        <v>0</v>
      </c>
      <c r="N37" s="39">
        <v>0</v>
      </c>
      <c r="O37" s="40">
        <f t="shared" si="14"/>
        <v>0</v>
      </c>
      <c r="P37" s="40">
        <f>O37*(1+Assumptions!D$18)</f>
        <v>0</v>
      </c>
      <c r="Q37" s="40">
        <f>P37*(1+Assumptions!E$18)</f>
        <v>0</v>
      </c>
      <c r="R37" s="40">
        <f>Q37*(1+Assumptions!F$18)</f>
        <v>0</v>
      </c>
      <c r="S37" s="40">
        <f>R37*(1+Assumptions!G$18)</f>
        <v>0</v>
      </c>
    </row>
    <row r="38" spans="1:19" s="11" customFormat="1" ht="16.149999999999999" customHeight="1" x14ac:dyDescent="0.3">
      <c r="A38" s="123" t="s">
        <v>152</v>
      </c>
      <c r="B38" s="43" t="s">
        <v>14</v>
      </c>
      <c r="C38" s="39">
        <v>0</v>
      </c>
      <c r="D38" s="39">
        <v>0</v>
      </c>
      <c r="E38" s="39">
        <v>0</v>
      </c>
      <c r="F38" s="39">
        <v>0</v>
      </c>
      <c r="G38" s="39">
        <v>0</v>
      </c>
      <c r="H38" s="39">
        <v>0</v>
      </c>
      <c r="I38" s="39">
        <v>0</v>
      </c>
      <c r="J38" s="39">
        <v>0</v>
      </c>
      <c r="K38" s="39">
        <v>0</v>
      </c>
      <c r="L38" s="39">
        <v>0</v>
      </c>
      <c r="M38" s="39">
        <v>0</v>
      </c>
      <c r="N38" s="39">
        <v>0</v>
      </c>
      <c r="O38" s="40">
        <f t="shared" si="14"/>
        <v>0</v>
      </c>
      <c r="P38" s="40">
        <f>O38*(1+Assumptions!D$18)</f>
        <v>0</v>
      </c>
      <c r="Q38" s="40">
        <f>P38*(1+Assumptions!E$18)</f>
        <v>0</v>
      </c>
      <c r="R38" s="40">
        <f>Q38*(1+Assumptions!F$18)</f>
        <v>0</v>
      </c>
      <c r="S38" s="40">
        <f>R38*(1+Assumptions!G$18)</f>
        <v>0</v>
      </c>
    </row>
    <row r="39" spans="1:19" s="11" customFormat="1" ht="16.149999999999999" customHeight="1" x14ac:dyDescent="0.3">
      <c r="A39" s="123" t="s">
        <v>152</v>
      </c>
      <c r="B39" s="43" t="s">
        <v>24</v>
      </c>
      <c r="C39" s="39">
        <v>0</v>
      </c>
      <c r="D39" s="39">
        <v>0</v>
      </c>
      <c r="E39" s="39">
        <v>0</v>
      </c>
      <c r="F39" s="39">
        <v>0</v>
      </c>
      <c r="G39" s="39">
        <v>0</v>
      </c>
      <c r="H39" s="39">
        <v>0</v>
      </c>
      <c r="I39" s="39">
        <v>0</v>
      </c>
      <c r="J39" s="39">
        <v>0</v>
      </c>
      <c r="K39" s="39">
        <v>0</v>
      </c>
      <c r="L39" s="39">
        <v>0</v>
      </c>
      <c r="M39" s="39">
        <v>0</v>
      </c>
      <c r="N39" s="39">
        <v>0</v>
      </c>
      <c r="O39" s="40">
        <f t="shared" si="14"/>
        <v>0</v>
      </c>
      <c r="P39" s="40">
        <f>O39*(1+Assumptions!D$18)</f>
        <v>0</v>
      </c>
      <c r="Q39" s="40">
        <f>P39*(1+Assumptions!E$18)</f>
        <v>0</v>
      </c>
      <c r="R39" s="40">
        <f>Q39*(1+Assumptions!F$18)</f>
        <v>0</v>
      </c>
      <c r="S39" s="40">
        <f>R39*(1+Assumptions!G$18)</f>
        <v>0</v>
      </c>
    </row>
    <row r="40" spans="1:19" s="11" customFormat="1" ht="16.149999999999999" customHeight="1" x14ac:dyDescent="0.3">
      <c r="A40" s="123" t="s">
        <v>152</v>
      </c>
      <c r="B40" s="43" t="s">
        <v>6</v>
      </c>
      <c r="C40" s="39">
        <v>0</v>
      </c>
      <c r="D40" s="39">
        <v>0</v>
      </c>
      <c r="E40" s="39">
        <v>0</v>
      </c>
      <c r="F40" s="39">
        <v>0</v>
      </c>
      <c r="G40" s="39">
        <v>0</v>
      </c>
      <c r="H40" s="39">
        <v>0</v>
      </c>
      <c r="I40" s="39">
        <v>0</v>
      </c>
      <c r="J40" s="39">
        <v>0</v>
      </c>
      <c r="K40" s="39">
        <v>0</v>
      </c>
      <c r="L40" s="39">
        <v>0</v>
      </c>
      <c r="M40" s="39">
        <v>0</v>
      </c>
      <c r="N40" s="39">
        <v>0</v>
      </c>
      <c r="O40" s="40">
        <f t="shared" si="14"/>
        <v>0</v>
      </c>
      <c r="P40" s="40">
        <f>O40*(1+Assumptions!D$18)</f>
        <v>0</v>
      </c>
      <c r="Q40" s="40">
        <f>P40*(1+Assumptions!E$18)</f>
        <v>0</v>
      </c>
      <c r="R40" s="40">
        <f>Q40*(1+Assumptions!F$18)</f>
        <v>0</v>
      </c>
      <c r="S40" s="40">
        <f>R40*(1+Assumptions!G$18)</f>
        <v>0</v>
      </c>
    </row>
    <row r="41" spans="1:19" s="2" customFormat="1" ht="16.149999999999999" customHeight="1" thickBot="1" x14ac:dyDescent="0.35">
      <c r="A41" s="121"/>
      <c r="B41" s="2" t="s">
        <v>155</v>
      </c>
      <c r="C41" s="45">
        <f ca="1">SUM(OFFSET(B18,1,1,ROW($B$41)-ROW($B$18)-1,1))</f>
        <v>8800000</v>
      </c>
      <c r="D41" s="45">
        <f t="shared" ref="D41:S41" ca="1" si="15">SUM(OFFSET(C18,1,1,ROW($B$41)-ROW($B$18)-1,1))</f>
        <v>8800000</v>
      </c>
      <c r="E41" s="45">
        <f t="shared" ca="1" si="15"/>
        <v>8800000</v>
      </c>
      <c r="F41" s="45">
        <f t="shared" ca="1" si="15"/>
        <v>8800000</v>
      </c>
      <c r="G41" s="45">
        <f t="shared" ca="1" si="15"/>
        <v>8800000</v>
      </c>
      <c r="H41" s="45">
        <f t="shared" ca="1" si="15"/>
        <v>8800000</v>
      </c>
      <c r="I41" s="45">
        <f t="shared" ca="1" si="15"/>
        <v>8800000</v>
      </c>
      <c r="J41" s="45">
        <f t="shared" ca="1" si="15"/>
        <v>8800000</v>
      </c>
      <c r="K41" s="45">
        <f t="shared" ca="1" si="15"/>
        <v>8800000</v>
      </c>
      <c r="L41" s="45">
        <f t="shared" ca="1" si="15"/>
        <v>8800000</v>
      </c>
      <c r="M41" s="45">
        <f t="shared" ca="1" si="15"/>
        <v>8800000</v>
      </c>
      <c r="N41" s="45">
        <f t="shared" ca="1" si="15"/>
        <v>8800000</v>
      </c>
      <c r="O41" s="45">
        <f t="shared" ca="1" si="15"/>
        <v>105600000</v>
      </c>
      <c r="P41" s="45">
        <f t="shared" ca="1" si="15"/>
        <v>111936000</v>
      </c>
      <c r="Q41" s="45">
        <f t="shared" ca="1" si="15"/>
        <v>118652160</v>
      </c>
      <c r="R41" s="45">
        <f t="shared" ca="1" si="15"/>
        <v>125771289.60000001</v>
      </c>
      <c r="S41" s="45">
        <f t="shared" ca="1" si="15"/>
        <v>133317566.97600001</v>
      </c>
    </row>
    <row r="42" spans="1:19" s="2" customFormat="1" ht="16.149999999999999" customHeight="1" x14ac:dyDescent="0.3">
      <c r="A42" s="116"/>
      <c r="B42" s="2" t="s">
        <v>157</v>
      </c>
      <c r="C42" s="40"/>
      <c r="D42" s="40"/>
      <c r="E42" s="40"/>
      <c r="F42" s="40"/>
      <c r="G42" s="40"/>
      <c r="H42" s="40"/>
      <c r="I42" s="40"/>
      <c r="J42" s="40"/>
      <c r="K42" s="40"/>
      <c r="L42" s="40"/>
      <c r="M42" s="40"/>
      <c r="N42" s="40"/>
      <c r="O42" s="40"/>
      <c r="P42" s="40"/>
      <c r="Q42" s="40"/>
      <c r="R42" s="40"/>
      <c r="S42" s="40"/>
    </row>
    <row r="43" spans="1:19" ht="16.149999999999999" customHeight="1" x14ac:dyDescent="0.3">
      <c r="A43" s="127" t="s">
        <v>251</v>
      </c>
      <c r="B43" s="5" t="s">
        <v>158</v>
      </c>
      <c r="C43" s="159">
        <v>56318535.916000001</v>
      </c>
      <c r="D43" s="159">
        <v>56318535.916000001</v>
      </c>
      <c r="E43" s="159">
        <v>56318535.916000001</v>
      </c>
      <c r="F43" s="159">
        <v>56318535.916000001</v>
      </c>
      <c r="G43" s="159">
        <v>56318535.916000001</v>
      </c>
      <c r="H43" s="159">
        <v>56318535.916000001</v>
      </c>
      <c r="I43" s="159">
        <v>56318535.916000001</v>
      </c>
      <c r="J43" s="159">
        <v>56318535.916000001</v>
      </c>
      <c r="K43" s="159">
        <v>56318535.916000001</v>
      </c>
      <c r="L43" s="159">
        <v>56318535.916000001</v>
      </c>
      <c r="M43" s="159">
        <v>56318535.916000001</v>
      </c>
      <c r="N43" s="159">
        <v>56318535.916000001</v>
      </c>
      <c r="O43" s="40">
        <f t="shared" ref="O43:O44" si="16">SUM(C43:N43)</f>
        <v>675822430.99199998</v>
      </c>
      <c r="P43" s="40">
        <f>O43*(1+Assumptions!D$18)</f>
        <v>716371776.85152006</v>
      </c>
      <c r="Q43" s="40">
        <f>P43*(1+Assumptions!E$18)</f>
        <v>759354083.46261132</v>
      </c>
      <c r="R43" s="40">
        <f>Q43*(1+Assumptions!F$18)</f>
        <v>804915328.47036803</v>
      </c>
      <c r="S43" s="40">
        <f>R43*(1+Assumptions!G$18)</f>
        <v>853210248.17859018</v>
      </c>
    </row>
    <row r="44" spans="1:19" ht="16.149999999999999" customHeight="1" x14ac:dyDescent="0.3">
      <c r="A44" s="127" t="s">
        <v>251</v>
      </c>
      <c r="B44" s="5" t="s">
        <v>159</v>
      </c>
      <c r="C44" s="39">
        <v>78567382.915999994</v>
      </c>
      <c r="D44" s="159">
        <v>78567382.915999994</v>
      </c>
      <c r="E44" s="159">
        <v>78567382.915999994</v>
      </c>
      <c r="F44" s="159">
        <v>78567382.915999994</v>
      </c>
      <c r="G44" s="159">
        <v>78567382.915999994</v>
      </c>
      <c r="H44" s="159">
        <v>78567382.915999994</v>
      </c>
      <c r="I44" s="159">
        <v>78567382.915999994</v>
      </c>
      <c r="J44" s="159">
        <v>78567382.915999994</v>
      </c>
      <c r="K44" s="159">
        <v>78567382.915999994</v>
      </c>
      <c r="L44" s="159">
        <v>78567382.915999994</v>
      </c>
      <c r="M44" s="159">
        <v>78567382.915999994</v>
      </c>
      <c r="N44" s="159">
        <v>78567382.915999994</v>
      </c>
      <c r="O44" s="40">
        <f t="shared" si="16"/>
        <v>942808594.99199998</v>
      </c>
      <c r="P44" s="40">
        <f>O44*(1+Assumptions!D$18)</f>
        <v>999377110.69151998</v>
      </c>
      <c r="Q44" s="40">
        <f>P44*(1+Assumptions!E$18)</f>
        <v>1059339737.3330113</v>
      </c>
      <c r="R44" s="40">
        <f>Q44*(1+Assumptions!F$18)</f>
        <v>1122900121.5729921</v>
      </c>
      <c r="S44" s="40">
        <f>R44*(1+Assumptions!G$18)</f>
        <v>1190274128.8673716</v>
      </c>
    </row>
    <row r="45" spans="1:19" s="2" customFormat="1" ht="16.149999999999999" customHeight="1" thickBot="1" x14ac:dyDescent="0.35">
      <c r="A45" s="116" t="s">
        <v>130</v>
      </c>
      <c r="B45" s="2" t="s">
        <v>160</v>
      </c>
      <c r="C45" s="45">
        <f ca="1">SUM(OFFSET(C42,1,0,ROW($B45)-ROW($B42)-1,1))</f>
        <v>134885918.83199999</v>
      </c>
      <c r="D45" s="45">
        <f t="shared" ref="D45:S45" ca="1" si="17">SUM(OFFSET(D42,1,0,ROW($B45)-ROW($B42)-1,1))</f>
        <v>134885918.83199999</v>
      </c>
      <c r="E45" s="45">
        <f t="shared" ca="1" si="17"/>
        <v>134885918.83199999</v>
      </c>
      <c r="F45" s="45">
        <f t="shared" ca="1" si="17"/>
        <v>134885918.83199999</v>
      </c>
      <c r="G45" s="45">
        <f t="shared" ca="1" si="17"/>
        <v>134885918.83199999</v>
      </c>
      <c r="H45" s="45">
        <f t="shared" ca="1" si="17"/>
        <v>134885918.83199999</v>
      </c>
      <c r="I45" s="45">
        <f t="shared" ca="1" si="17"/>
        <v>134885918.83199999</v>
      </c>
      <c r="J45" s="45">
        <f t="shared" ca="1" si="17"/>
        <v>134885918.83199999</v>
      </c>
      <c r="K45" s="45">
        <f t="shared" ca="1" si="17"/>
        <v>134885918.83199999</v>
      </c>
      <c r="L45" s="45">
        <f t="shared" ca="1" si="17"/>
        <v>134885918.83199999</v>
      </c>
      <c r="M45" s="45">
        <f t="shared" ca="1" si="17"/>
        <v>134885918.83199999</v>
      </c>
      <c r="N45" s="45">
        <f t="shared" ca="1" si="17"/>
        <v>134885918.83199999</v>
      </c>
      <c r="O45" s="45">
        <f t="shared" ca="1" si="17"/>
        <v>1618631025.984</v>
      </c>
      <c r="P45" s="45">
        <f t="shared" ca="1" si="17"/>
        <v>1715748887.54304</v>
      </c>
      <c r="Q45" s="45">
        <f t="shared" ca="1" si="17"/>
        <v>1818693820.7956226</v>
      </c>
      <c r="R45" s="45">
        <f t="shared" ca="1" si="17"/>
        <v>1927815450.0433602</v>
      </c>
      <c r="S45" s="45">
        <f t="shared" ca="1" si="17"/>
        <v>2043484377.0459619</v>
      </c>
    </row>
    <row r="46" spans="1:19" s="2" customFormat="1" ht="16.149999999999999" customHeight="1" x14ac:dyDescent="0.3">
      <c r="A46" s="116"/>
      <c r="B46" s="2" t="s">
        <v>161</v>
      </c>
      <c r="C46" s="40"/>
      <c r="D46" s="40"/>
      <c r="E46" s="40"/>
      <c r="F46" s="40"/>
      <c r="G46" s="52"/>
      <c r="H46" s="52"/>
      <c r="I46" s="52"/>
      <c r="J46" s="52"/>
      <c r="K46" s="52"/>
      <c r="L46" s="52"/>
      <c r="M46" s="52"/>
      <c r="N46" s="52"/>
      <c r="O46" s="52"/>
      <c r="P46" s="52"/>
      <c r="Q46" s="52"/>
      <c r="R46" s="52"/>
      <c r="S46" s="52"/>
    </row>
    <row r="47" spans="1:19" ht="16.149999999999999" customHeight="1" x14ac:dyDescent="0.3">
      <c r="A47" s="127" t="s">
        <v>162</v>
      </c>
      <c r="B47" s="5" t="s">
        <v>67</v>
      </c>
      <c r="C47" s="39">
        <v>0</v>
      </c>
      <c r="D47" s="39">
        <v>0</v>
      </c>
      <c r="E47" s="39">
        <v>0</v>
      </c>
      <c r="F47" s="39">
        <v>0</v>
      </c>
      <c r="G47" s="39">
        <v>0</v>
      </c>
      <c r="H47" s="39">
        <v>0</v>
      </c>
      <c r="I47" s="39">
        <v>0</v>
      </c>
      <c r="J47" s="39">
        <v>0</v>
      </c>
      <c r="K47" s="39">
        <v>0</v>
      </c>
      <c r="L47" s="39">
        <v>0</v>
      </c>
      <c r="M47" s="39">
        <v>0</v>
      </c>
      <c r="N47" s="39">
        <v>280845625</v>
      </c>
      <c r="O47" s="40">
        <f>SUM(C47:N47)</f>
        <v>280845625</v>
      </c>
      <c r="P47" s="40">
        <f>Assumptions!D$24</f>
        <v>280845625</v>
      </c>
      <c r="Q47" s="40">
        <f>Assumptions!E$24</f>
        <v>280845625</v>
      </c>
      <c r="R47" s="40">
        <f>Assumptions!F$24</f>
        <v>280845625</v>
      </c>
      <c r="S47" s="40">
        <f>Assumptions!G$24</f>
        <v>280845625</v>
      </c>
    </row>
    <row r="48" spans="1:19" ht="16.149999999999999" customHeight="1" x14ac:dyDescent="0.3">
      <c r="A48" s="127" t="s">
        <v>163</v>
      </c>
      <c r="B48" s="5" t="s">
        <v>164</v>
      </c>
      <c r="C48" s="39">
        <v>0</v>
      </c>
      <c r="D48" s="39">
        <v>0</v>
      </c>
      <c r="E48" s="39">
        <v>0</v>
      </c>
      <c r="F48" s="39">
        <v>0</v>
      </c>
      <c r="G48" s="39">
        <v>0</v>
      </c>
      <c r="H48" s="39">
        <v>0</v>
      </c>
      <c r="I48" s="39">
        <v>0</v>
      </c>
      <c r="J48" s="39">
        <v>0</v>
      </c>
      <c r="K48" s="39">
        <v>0</v>
      </c>
      <c r="L48" s="39">
        <v>0</v>
      </c>
      <c r="M48" s="39">
        <v>0</v>
      </c>
      <c r="N48" s="39">
        <v>0</v>
      </c>
      <c r="O48" s="40">
        <f>SUM(C48:N48)</f>
        <v>0</v>
      </c>
      <c r="P48" s="40">
        <f>Assumptions!D$25</f>
        <v>0</v>
      </c>
      <c r="Q48" s="40">
        <f>Assumptions!E$25</f>
        <v>0</v>
      </c>
      <c r="R48" s="40">
        <f>Assumptions!F$25</f>
        <v>0</v>
      </c>
      <c r="S48" s="40">
        <f>Assumptions!G$25</f>
        <v>0</v>
      </c>
    </row>
    <row r="49" spans="1:19" s="2" customFormat="1" ht="16.149999999999999" customHeight="1" thickBot="1" x14ac:dyDescent="0.35">
      <c r="A49" s="128"/>
      <c r="B49" s="2" t="s">
        <v>165</v>
      </c>
      <c r="C49" s="45">
        <f>SUM(C47:C48)</f>
        <v>0</v>
      </c>
      <c r="D49" s="45">
        <f t="shared" ref="D49:S49" si="18">SUM(D47:D48)</f>
        <v>0</v>
      </c>
      <c r="E49" s="45">
        <f t="shared" si="18"/>
        <v>0</v>
      </c>
      <c r="F49" s="45">
        <f t="shared" si="18"/>
        <v>0</v>
      </c>
      <c r="G49" s="45">
        <f t="shared" si="18"/>
        <v>0</v>
      </c>
      <c r="H49" s="45">
        <f t="shared" si="18"/>
        <v>0</v>
      </c>
      <c r="I49" s="45">
        <f t="shared" si="18"/>
        <v>0</v>
      </c>
      <c r="J49" s="45">
        <f t="shared" si="18"/>
        <v>0</v>
      </c>
      <c r="K49" s="45">
        <f t="shared" si="18"/>
        <v>0</v>
      </c>
      <c r="L49" s="45">
        <f t="shared" si="18"/>
        <v>0</v>
      </c>
      <c r="M49" s="45">
        <f t="shared" si="18"/>
        <v>0</v>
      </c>
      <c r="N49" s="45">
        <f t="shared" si="18"/>
        <v>280845625</v>
      </c>
      <c r="O49" s="45">
        <f t="shared" si="18"/>
        <v>280845625</v>
      </c>
      <c r="P49" s="45">
        <f t="shared" si="18"/>
        <v>280845625</v>
      </c>
      <c r="Q49" s="45">
        <f t="shared" si="18"/>
        <v>280845625</v>
      </c>
      <c r="R49" s="45">
        <f t="shared" si="18"/>
        <v>280845625</v>
      </c>
      <c r="S49" s="45">
        <f t="shared" si="18"/>
        <v>280845625</v>
      </c>
    </row>
    <row r="50" spans="1:19" s="2" customFormat="1" ht="16.149999999999999" customHeight="1" x14ac:dyDescent="0.3">
      <c r="A50" s="121"/>
      <c r="B50" s="2" t="s">
        <v>64</v>
      </c>
      <c r="C50" s="40">
        <f ca="1">SUM(C13,C17,-C41,-C45,-C49)</f>
        <v>1189445102.2012002</v>
      </c>
      <c r="D50" s="40">
        <f t="shared" ref="D50:S50" ca="1" si="19">SUM(D13,D17,-D41,-D45,-D49)</f>
        <v>1189445102.2012002</v>
      </c>
      <c r="E50" s="40">
        <f t="shared" ca="1" si="19"/>
        <v>1189445102.2012002</v>
      </c>
      <c r="F50" s="40">
        <f t="shared" ca="1" si="19"/>
        <v>1189445102.2012002</v>
      </c>
      <c r="G50" s="40">
        <f t="shared" ca="1" si="19"/>
        <v>1189445102.2012002</v>
      </c>
      <c r="H50" s="40">
        <f t="shared" ca="1" si="19"/>
        <v>1189445102.2012002</v>
      </c>
      <c r="I50" s="40">
        <f t="shared" ca="1" si="19"/>
        <v>1189445102.2012002</v>
      </c>
      <c r="J50" s="40">
        <f t="shared" ca="1" si="19"/>
        <v>1189445102.2012002</v>
      </c>
      <c r="K50" s="40">
        <f t="shared" ca="1" si="19"/>
        <v>1189445102.2012002</v>
      </c>
      <c r="L50" s="40">
        <f t="shared" ca="1" si="19"/>
        <v>1189445102.2012002</v>
      </c>
      <c r="M50" s="40">
        <f t="shared" ca="1" si="19"/>
        <v>1189445102.2012002</v>
      </c>
      <c r="N50" s="40">
        <f t="shared" ca="1" si="19"/>
        <v>908599477.20120025</v>
      </c>
      <c r="O50" s="40">
        <f t="shared" ca="1" si="19"/>
        <v>13992495601.4144</v>
      </c>
      <c r="P50" s="40">
        <f t="shared" ca="1" si="19"/>
        <v>16032716421.676748</v>
      </c>
      <c r="Q50" s="40">
        <f t="shared" ca="1" si="19"/>
        <v>17374355083.161747</v>
      </c>
      <c r="R50" s="40">
        <f t="shared" ca="1" si="19"/>
        <v>19329326402.860935</v>
      </c>
      <c r="S50" s="40">
        <f t="shared" ca="1" si="19"/>
        <v>20939211899.882679</v>
      </c>
    </row>
    <row r="51" spans="1:19" s="2" customFormat="1" ht="16.149999999999999" customHeight="1" x14ac:dyDescent="0.25">
      <c r="A51" s="129"/>
      <c r="B51" s="2" t="s">
        <v>167</v>
      </c>
      <c r="C51" s="40"/>
      <c r="D51" s="40"/>
      <c r="E51" s="40"/>
      <c r="F51" s="40"/>
      <c r="G51" s="52"/>
      <c r="H51" s="52"/>
      <c r="I51" s="52"/>
      <c r="J51" s="52"/>
      <c r="K51" s="52"/>
      <c r="L51" s="52"/>
      <c r="M51" s="52"/>
      <c r="N51" s="52"/>
      <c r="O51" s="52"/>
      <c r="P51" s="52"/>
      <c r="Q51" s="52"/>
      <c r="R51" s="52"/>
      <c r="S51" s="52"/>
    </row>
    <row r="52" spans="1:19" s="11" customFormat="1" ht="16.149999999999999" customHeight="1" x14ac:dyDescent="0.3">
      <c r="A52" s="124" t="s">
        <v>168</v>
      </c>
      <c r="B52" s="43" t="s">
        <v>169</v>
      </c>
      <c r="C52" s="39">
        <f ca="1">OFFSET(Loans1!$E$9,COLUMN(C51)-COLUMN($B51)-ROUNDDOWN((COLUMN(C51)-COLUMN($B51))/13,0),0,1,1)</f>
        <v>71978079.959999993</v>
      </c>
      <c r="D52" s="39">
        <f ca="1">OFFSET(Loans1!$E$9,COLUMN(D51)-COLUMN($B51)-ROUNDDOWN((COLUMN(D51)-COLUMN($B51))/13,0),0,1,1)</f>
        <v>71096748.125470102</v>
      </c>
      <c r="E52" s="39">
        <f ca="1">OFFSET(Loans1!$E$9,COLUMN(E51)-COLUMN($B51)-ROUNDDOWN((COLUMN(E51)-COLUMN($B51))/13,0),0,1,1)</f>
        <v>70206602.972594902</v>
      </c>
      <c r="F52" s="39">
        <f ca="1">OFFSET(Loans1!$E$9,COLUMN(F51)-COLUMN($B51)-ROUNDDOWN((COLUMN(F51)-COLUMN($B51))/13,0),0,1,1)</f>
        <v>69307556.368190959</v>
      </c>
      <c r="G52" s="39">
        <f ca="1">OFFSET(Loans1!$E$9,COLUMN(G51)-COLUMN($B51)-ROUNDDOWN((COLUMN(G51)-COLUMN($B51))/13,0),0,1,1)</f>
        <v>68399519.297742978</v>
      </c>
      <c r="H52" s="39">
        <f ca="1">OFFSET(Loans1!$E$9,COLUMN(H51)-COLUMN($B51)-ROUNDDOWN((COLUMN(H51)-COLUMN($B51))/13,0),0,1,1)</f>
        <v>67482401.856590509</v>
      </c>
      <c r="I52" s="39">
        <f ca="1">OFFSET(Loans1!$E$9,COLUMN(I51)-COLUMN($B51)-ROUNDDOWN((COLUMN(I51)-COLUMN($B51))/13,0),0,1,1)</f>
        <v>66556113.241026513</v>
      </c>
      <c r="J52" s="39">
        <f ca="1">OFFSET(Loans1!$E$9,COLUMN(J51)-COLUMN($B51)-ROUNDDOWN((COLUMN(J51)-COLUMN($B51))/13,0),0,1,1)</f>
        <v>65620561.739306889</v>
      </c>
      <c r="K52" s="39">
        <f ca="1">OFFSET(Loans1!$E$9,COLUMN(K51)-COLUMN($B51)-ROUNDDOWN((COLUMN(K51)-COLUMN($B51))/13,0),0,1,1)</f>
        <v>64675654.722570054</v>
      </c>
      <c r="L52" s="39">
        <f ca="1">OFFSET(Loans1!$E$9,COLUMN(L51)-COLUMN($B51)-ROUNDDOWN((COLUMN(L51)-COLUMN($B51))/13,0),0,1,1)</f>
        <v>63721298.635665864</v>
      </c>
      <c r="M52" s="39">
        <f ca="1">OFFSET(Loans1!$E$9,COLUMN(M51)-COLUMN($B51)-ROUNDDOWN((COLUMN(M51)-COLUMN($B51))/13,0),0,1,1)</f>
        <v>62757398.987892628</v>
      </c>
      <c r="N52" s="39">
        <f ca="1">OFFSET(Loans1!$E$9,COLUMN(N51)-COLUMN($B51)-ROUNDDOWN((COLUMN(N51)-COLUMN($B51))/13,0),0,1,1)</f>
        <v>61783860.343641646</v>
      </c>
      <c r="O52" s="40">
        <f ca="1">SUM(C52:N52)</f>
        <v>803585796.25069308</v>
      </c>
      <c r="P52" s="40">
        <f ca="1">SUM(OFFSET(Loans1!$E$10,12*(COLUMN(P$51)-COLUMN($O$51)),0,12,1))</f>
        <v>661827199.39196813</v>
      </c>
      <c r="Q52" s="40">
        <f ca="1">SUM(OFFSET(Loans1!$E$10,12*(COLUMN(Q$51)-COLUMN($O$51)),0,12,1))</f>
        <v>502090064.21516985</v>
      </c>
      <c r="R52" s="40">
        <f ca="1">SUM(OFFSET(Loans1!$E$10,12*(COLUMN(R$51)-COLUMN($O$51)),0,12,1))</f>
        <v>322094262.05637944</v>
      </c>
      <c r="S52" s="40">
        <f ca="1">SUM(OFFSET(Loans1!$E$10,12*(COLUMN(S$51)-COLUMN($O$51)),0,12,1))</f>
        <v>119270486.86517243</v>
      </c>
    </row>
    <row r="53" spans="1:19" s="11" customFormat="1" ht="16.149999999999999" customHeight="1" x14ac:dyDescent="0.3">
      <c r="A53" s="124" t="s">
        <v>168</v>
      </c>
      <c r="B53" s="43" t="s">
        <v>170</v>
      </c>
      <c r="C53" s="39">
        <f ca="1">OFFSET(Loans2!$E$9,COLUMN(C52)-COLUMN($B52)-ROUNDDOWN((COLUMN(C52)-COLUMN($B52))/13,0),0,1,1)</f>
        <v>0</v>
      </c>
      <c r="D53" s="39">
        <f ca="1">OFFSET(Loans2!$E$9,COLUMN(D52)-COLUMN($B52)-ROUNDDOWN((COLUMN(D52)-COLUMN($B52))/13,0),0,1,1)</f>
        <v>0</v>
      </c>
      <c r="E53" s="39">
        <f ca="1">OFFSET(Loans2!$E$9,COLUMN(E52)-COLUMN($B52)-ROUNDDOWN((COLUMN(E52)-COLUMN($B52))/13,0),0,1,1)</f>
        <v>0</v>
      </c>
      <c r="F53" s="39">
        <f ca="1">OFFSET(Loans2!$E$9,COLUMN(F52)-COLUMN($B52)-ROUNDDOWN((COLUMN(F52)-COLUMN($B52))/13,0),0,1,1)</f>
        <v>0</v>
      </c>
      <c r="G53" s="39">
        <f ca="1">OFFSET(Loans2!$E$9,COLUMN(G52)-COLUMN($B52)-ROUNDDOWN((COLUMN(G52)-COLUMN($B52))/13,0),0,1,1)</f>
        <v>0</v>
      </c>
      <c r="H53" s="39">
        <f ca="1">OFFSET(Loans2!$E$9,COLUMN(H52)-COLUMN($B52)-ROUNDDOWN((COLUMN(H52)-COLUMN($B52))/13,0),0,1,1)</f>
        <v>0</v>
      </c>
      <c r="I53" s="39">
        <f ca="1">OFFSET(Loans2!$E$9,COLUMN(I52)-COLUMN($B52)-ROUNDDOWN((COLUMN(I52)-COLUMN($B52))/13,0),0,1,1)</f>
        <v>0</v>
      </c>
      <c r="J53" s="39">
        <f ca="1">OFFSET(Loans2!$E$9,COLUMN(J52)-COLUMN($B52)-ROUNDDOWN((COLUMN(J52)-COLUMN($B52))/13,0),0,1,1)</f>
        <v>0</v>
      </c>
      <c r="K53" s="39">
        <f ca="1">OFFSET(Loans2!$E$9,COLUMN(K52)-COLUMN($B52)-ROUNDDOWN((COLUMN(K52)-COLUMN($B52))/13,0),0,1,1)</f>
        <v>0</v>
      </c>
      <c r="L53" s="39">
        <f ca="1">OFFSET(Loans2!$E$9,COLUMN(L52)-COLUMN($B52)-ROUNDDOWN((COLUMN(L52)-COLUMN($B52))/13,0),0,1,1)</f>
        <v>0</v>
      </c>
      <c r="M53" s="39">
        <f ca="1">OFFSET(Loans2!$E$9,COLUMN(M52)-COLUMN($B52)-ROUNDDOWN((COLUMN(M52)-COLUMN($B52))/13,0),0,1,1)</f>
        <v>0</v>
      </c>
      <c r="N53" s="39">
        <f ca="1">OFFSET(Loans2!$E$9,COLUMN(N52)-COLUMN($B52)-ROUNDDOWN((COLUMN(N52)-COLUMN($B52))/13,0),0,1,1)</f>
        <v>0</v>
      </c>
      <c r="O53" s="40">
        <f t="shared" ref="O53:O55" ca="1" si="20">SUM(C53:N53)</f>
        <v>0</v>
      </c>
      <c r="P53" s="40">
        <f ca="1">SUM(OFFSET(Loans2!$E$10,12*(COLUMN(P$51)-COLUMN($O$51)),0,12,1))</f>
        <v>0</v>
      </c>
      <c r="Q53" s="40">
        <f ca="1">SUM(OFFSET(Loans2!$E$10,12*(COLUMN(Q$51)-COLUMN($O$51)),0,12,1))</f>
        <v>0</v>
      </c>
      <c r="R53" s="40">
        <f ca="1">SUM(OFFSET(Loans2!$E$10,12*(COLUMN(R$51)-COLUMN($O$51)),0,12,1))</f>
        <v>0</v>
      </c>
      <c r="S53" s="40">
        <f ca="1">SUM(OFFSET(Loans2!$E$10,12*(COLUMN(S$51)-COLUMN($O$51)),0,12,1))</f>
        <v>0</v>
      </c>
    </row>
    <row r="54" spans="1:19" s="11" customFormat="1" ht="16.149999999999999" customHeight="1" x14ac:dyDescent="0.3">
      <c r="A54" s="124" t="s">
        <v>168</v>
      </c>
      <c r="B54" s="43" t="s">
        <v>171</v>
      </c>
      <c r="C54" s="39">
        <f ca="1">OFFSET(Loans3!$E$9,COLUMN(C53)-COLUMN($B53)-ROUNDDOWN((COLUMN(C53)-COLUMN($B53))/13,0),0,1,1)</f>
        <v>0</v>
      </c>
      <c r="D54" s="39">
        <f ca="1">OFFSET(Loans3!$E$9,COLUMN(D53)-COLUMN($B53)-ROUNDDOWN((COLUMN(D53)-COLUMN($B53))/13,0),0,1,1)</f>
        <v>0</v>
      </c>
      <c r="E54" s="39">
        <f ca="1">OFFSET(Loans3!$E$9,COLUMN(E53)-COLUMN($B53)-ROUNDDOWN((COLUMN(E53)-COLUMN($B53))/13,0),0,1,1)</f>
        <v>0</v>
      </c>
      <c r="F54" s="39">
        <f ca="1">OFFSET(Loans3!$E$9,COLUMN(F53)-COLUMN($B53)-ROUNDDOWN((COLUMN(F53)-COLUMN($B53))/13,0),0,1,1)</f>
        <v>0</v>
      </c>
      <c r="G54" s="39">
        <f ca="1">OFFSET(Loans3!$E$9,COLUMN(G53)-COLUMN($B53)-ROUNDDOWN((COLUMN(G53)-COLUMN($B53))/13,0),0,1,1)</f>
        <v>0</v>
      </c>
      <c r="H54" s="39">
        <f ca="1">OFFSET(Loans3!$E$9,COLUMN(H53)-COLUMN($B53)-ROUNDDOWN((COLUMN(H53)-COLUMN($B53))/13,0),0,1,1)</f>
        <v>0</v>
      </c>
      <c r="I54" s="39">
        <f ca="1">OFFSET(Loans3!$E$9,COLUMN(I53)-COLUMN($B53)-ROUNDDOWN((COLUMN(I53)-COLUMN($B53))/13,0),0,1,1)</f>
        <v>0</v>
      </c>
      <c r="J54" s="39">
        <f ca="1">OFFSET(Loans3!$E$9,COLUMN(J53)-COLUMN($B53)-ROUNDDOWN((COLUMN(J53)-COLUMN($B53))/13,0),0,1,1)</f>
        <v>0</v>
      </c>
      <c r="K54" s="39">
        <f ca="1">OFFSET(Loans3!$E$9,COLUMN(K53)-COLUMN($B53)-ROUNDDOWN((COLUMN(K53)-COLUMN($B53))/13,0),0,1,1)</f>
        <v>0</v>
      </c>
      <c r="L54" s="39">
        <f ca="1">OFFSET(Loans3!$E$9,COLUMN(L53)-COLUMN($B53)-ROUNDDOWN((COLUMN(L53)-COLUMN($B53))/13,0),0,1,1)</f>
        <v>0</v>
      </c>
      <c r="M54" s="39">
        <f ca="1">OFFSET(Loans3!$E$9,COLUMN(M53)-COLUMN($B53)-ROUNDDOWN((COLUMN(M53)-COLUMN($B53))/13,0),0,1,1)</f>
        <v>0</v>
      </c>
      <c r="N54" s="39">
        <f ca="1">OFFSET(Loans3!$E$9,COLUMN(N53)-COLUMN($B53)-ROUNDDOWN((COLUMN(N53)-COLUMN($B53))/13,0),0,1,1)</f>
        <v>0</v>
      </c>
      <c r="O54" s="40">
        <f t="shared" ca="1" si="20"/>
        <v>0</v>
      </c>
      <c r="P54" s="40">
        <f ca="1">SUM(OFFSET(Loans3!$E$10,12*(COLUMN(P$51)-COLUMN($O$51)),0,12,1))</f>
        <v>0</v>
      </c>
      <c r="Q54" s="40">
        <f ca="1">SUM(OFFSET(Loans3!$E$10,12*(COLUMN(Q$51)-COLUMN($O$51)),0,12,1))</f>
        <v>0</v>
      </c>
      <c r="R54" s="40">
        <f ca="1">SUM(OFFSET(Loans3!$E$10,12*(COLUMN(R$51)-COLUMN($O$51)),0,12,1))</f>
        <v>0</v>
      </c>
      <c r="S54" s="40">
        <f ca="1">SUM(OFFSET(Loans3!$E$10,12*(COLUMN(S$51)-COLUMN($O$51)),0,12,1))</f>
        <v>0</v>
      </c>
    </row>
    <row r="55" spans="1:19" s="11" customFormat="1" ht="16.149999999999999" customHeight="1" x14ac:dyDescent="0.3">
      <c r="A55" s="124" t="s">
        <v>168</v>
      </c>
      <c r="B55" s="43" t="s">
        <v>172</v>
      </c>
      <c r="C55" s="39">
        <f ca="1">OFFSET(Leases!$E$9,COLUMN(C54)-COLUMN($B54)-ROUNDDOWN((COLUMN(C54)-COLUMN($B54))/13,0),0,1,1)</f>
        <v>0</v>
      </c>
      <c r="D55" s="39">
        <f ca="1">OFFSET(Leases!$E$9,COLUMN(D54)-COLUMN($B54)-ROUNDDOWN((COLUMN(D54)-COLUMN($B54))/13,0),0,1,1)</f>
        <v>0</v>
      </c>
      <c r="E55" s="39">
        <f ca="1">OFFSET(Leases!$E$9,COLUMN(E54)-COLUMN($B54)-ROUNDDOWN((COLUMN(E54)-COLUMN($B54))/13,0),0,1,1)</f>
        <v>0</v>
      </c>
      <c r="F55" s="39">
        <f ca="1">OFFSET(Leases!$E$9,COLUMN(F54)-COLUMN($B54)-ROUNDDOWN((COLUMN(F54)-COLUMN($B54))/13,0),0,1,1)</f>
        <v>0</v>
      </c>
      <c r="G55" s="39">
        <f ca="1">OFFSET(Leases!$E$9,COLUMN(G54)-COLUMN($B54)-ROUNDDOWN((COLUMN(G54)-COLUMN($B54))/13,0),0,1,1)</f>
        <v>0</v>
      </c>
      <c r="H55" s="39">
        <f ca="1">OFFSET(Leases!$E$9,COLUMN(H54)-COLUMN($B54)-ROUNDDOWN((COLUMN(H54)-COLUMN($B54))/13,0),0,1,1)</f>
        <v>0</v>
      </c>
      <c r="I55" s="39">
        <f ca="1">OFFSET(Leases!$E$9,COLUMN(I54)-COLUMN($B54)-ROUNDDOWN((COLUMN(I54)-COLUMN($B54))/13,0),0,1,1)</f>
        <v>0</v>
      </c>
      <c r="J55" s="39">
        <f ca="1">OFFSET(Leases!$E$9,COLUMN(J54)-COLUMN($B54)-ROUNDDOWN((COLUMN(J54)-COLUMN($B54))/13,0),0,1,1)</f>
        <v>0</v>
      </c>
      <c r="K55" s="39">
        <f ca="1">OFFSET(Leases!$E$9,COLUMN(K54)-COLUMN($B54)-ROUNDDOWN((COLUMN(K54)-COLUMN($B54))/13,0),0,1,1)</f>
        <v>0</v>
      </c>
      <c r="L55" s="39">
        <f ca="1">OFFSET(Leases!$E$9,COLUMN(L54)-COLUMN($B54)-ROUNDDOWN((COLUMN(L54)-COLUMN($B54))/13,0),0,1,1)</f>
        <v>0</v>
      </c>
      <c r="M55" s="39">
        <f ca="1">OFFSET(Leases!$E$9,COLUMN(M54)-COLUMN($B54)-ROUNDDOWN((COLUMN(M54)-COLUMN($B54))/13,0),0,1,1)</f>
        <v>0</v>
      </c>
      <c r="N55" s="39">
        <f ca="1">OFFSET(Leases!$E$9,COLUMN(N54)-COLUMN($B54)-ROUNDDOWN((COLUMN(N54)-COLUMN($B54))/13,0),0,1,1)</f>
        <v>0</v>
      </c>
      <c r="O55" s="40">
        <f t="shared" ca="1" si="20"/>
        <v>0</v>
      </c>
      <c r="P55" s="40">
        <f ca="1">SUM(OFFSET(Leases!$E$10,12*(COLUMN(P$51)-COLUMN($O$51)),0,12,1))</f>
        <v>0</v>
      </c>
      <c r="Q55" s="40">
        <f ca="1">SUM(OFFSET(Leases!$E$10,12*(COLUMN(Q$51)-COLUMN($O$51)),0,12,1))</f>
        <v>0</v>
      </c>
      <c r="R55" s="40">
        <f ca="1">SUM(OFFSET(Leases!$E$10,12*(COLUMN(R$51)-COLUMN($O$51)),0,12,1))</f>
        <v>0</v>
      </c>
      <c r="S55" s="40">
        <f ca="1">SUM(OFFSET(Leases!$E$10,12*(COLUMN(S$51)-COLUMN($O$51)),0,12,1))</f>
        <v>0</v>
      </c>
    </row>
    <row r="56" spans="1:19" s="3" customFormat="1" ht="16.149999999999999" customHeight="1" thickBot="1" x14ac:dyDescent="0.3">
      <c r="A56" s="130"/>
      <c r="B56" s="44" t="s">
        <v>173</v>
      </c>
      <c r="C56" s="45">
        <f ca="1">SUM(C52:C55)</f>
        <v>71978079.959999993</v>
      </c>
      <c r="D56" s="45">
        <f t="shared" ref="D56:S56" ca="1" si="21">SUM(D52:D55)</f>
        <v>71096748.125470102</v>
      </c>
      <c r="E56" s="45">
        <f t="shared" ca="1" si="21"/>
        <v>70206602.972594902</v>
      </c>
      <c r="F56" s="45">
        <f t="shared" ca="1" si="21"/>
        <v>69307556.368190959</v>
      </c>
      <c r="G56" s="45">
        <f t="shared" ca="1" si="21"/>
        <v>68399519.297742978</v>
      </c>
      <c r="H56" s="45">
        <f t="shared" ca="1" si="21"/>
        <v>67482401.856590509</v>
      </c>
      <c r="I56" s="45">
        <f t="shared" ca="1" si="21"/>
        <v>66556113.241026513</v>
      </c>
      <c r="J56" s="45">
        <f t="shared" ca="1" si="21"/>
        <v>65620561.739306889</v>
      </c>
      <c r="K56" s="45">
        <f t="shared" ca="1" si="21"/>
        <v>64675654.722570054</v>
      </c>
      <c r="L56" s="45">
        <f t="shared" ca="1" si="21"/>
        <v>63721298.635665864</v>
      </c>
      <c r="M56" s="45">
        <f t="shared" ca="1" si="21"/>
        <v>62757398.987892628</v>
      </c>
      <c r="N56" s="45">
        <f t="shared" ca="1" si="21"/>
        <v>61783860.343641646</v>
      </c>
      <c r="O56" s="45">
        <f t="shared" ca="1" si="21"/>
        <v>803585796.25069308</v>
      </c>
      <c r="P56" s="45">
        <f t="shared" ca="1" si="21"/>
        <v>661827199.39196813</v>
      </c>
      <c r="Q56" s="45">
        <f t="shared" ca="1" si="21"/>
        <v>502090064.21516985</v>
      </c>
      <c r="R56" s="45">
        <f t="shared" ca="1" si="21"/>
        <v>322094262.05637944</v>
      </c>
      <c r="S56" s="45">
        <f t="shared" ca="1" si="21"/>
        <v>119270486.86517243</v>
      </c>
    </row>
    <row r="57" spans="1:19" s="3" customFormat="1" ht="16.149999999999999" customHeight="1" x14ac:dyDescent="0.25">
      <c r="A57" s="130"/>
      <c r="B57" s="44" t="s">
        <v>174</v>
      </c>
      <c r="C57" s="40">
        <f ca="1">SUM(C50,-C56)</f>
        <v>1117467022.2412002</v>
      </c>
      <c r="D57" s="40">
        <f t="shared" ref="D57:S57" ca="1" si="22">SUM(D50,-D56)</f>
        <v>1118348354.0757301</v>
      </c>
      <c r="E57" s="40">
        <f t="shared" ca="1" si="22"/>
        <v>1119238499.2286053</v>
      </c>
      <c r="F57" s="40">
        <f t="shared" ca="1" si="22"/>
        <v>1120137545.8330092</v>
      </c>
      <c r="G57" s="40">
        <f t="shared" ca="1" si="22"/>
        <v>1121045582.9034572</v>
      </c>
      <c r="H57" s="40">
        <f t="shared" ca="1" si="22"/>
        <v>1121962700.3446097</v>
      </c>
      <c r="I57" s="40">
        <f t="shared" ca="1" si="22"/>
        <v>1122888988.9601738</v>
      </c>
      <c r="J57" s="40">
        <f t="shared" ca="1" si="22"/>
        <v>1123824540.4618933</v>
      </c>
      <c r="K57" s="40">
        <f t="shared" ca="1" si="22"/>
        <v>1124769447.4786303</v>
      </c>
      <c r="L57" s="40">
        <f t="shared" ca="1" si="22"/>
        <v>1125723803.5655344</v>
      </c>
      <c r="M57" s="40">
        <f t="shared" ca="1" si="22"/>
        <v>1126687703.2133076</v>
      </c>
      <c r="N57" s="40">
        <f t="shared" ca="1" si="22"/>
        <v>846815616.85755861</v>
      </c>
      <c r="O57" s="40">
        <f t="shared" ca="1" si="22"/>
        <v>13188909805.163708</v>
      </c>
      <c r="P57" s="40">
        <f t="shared" ca="1" si="22"/>
        <v>15370889222.284781</v>
      </c>
      <c r="Q57" s="40">
        <f t="shared" ca="1" si="22"/>
        <v>16872265018.946577</v>
      </c>
      <c r="R57" s="40">
        <f t="shared" ca="1" si="22"/>
        <v>19007232140.804554</v>
      </c>
      <c r="S57" s="40">
        <f t="shared" ca="1" si="22"/>
        <v>20819941413.017506</v>
      </c>
    </row>
    <row r="58" spans="1:19" s="11" customFormat="1" ht="16.149999999999999" customHeight="1" x14ac:dyDescent="0.3">
      <c r="A58" s="124" t="s">
        <v>134</v>
      </c>
      <c r="B58" s="43" t="s">
        <v>37</v>
      </c>
      <c r="C58" s="39">
        <f ca="1">IF(SUM($C57:C57)-Assumptions!$C$66&lt;0,0,(SUM($C57:C57)-Assumptions!$C$66)*Assumptions!$C$65)</f>
        <v>335240106.67236006</v>
      </c>
      <c r="D58" s="39">
        <f ca="1">IF(SUM($C57:D57)-Assumptions!$C$66&lt;0,-SUM($C58:C58),((SUM($C57:D57)-Assumptions!$C$66)*Assumptions!$C$65)-SUM($C58:C58))</f>
        <v>335504506.22271895</v>
      </c>
      <c r="E58" s="39">
        <f ca="1">IF(SUM($C57:E57)-Assumptions!$C$66&lt;0,-SUM($C58:D58),((SUM($C57:E57)-Assumptions!$C$66)*Assumptions!$C$65)-SUM($C58:D58))</f>
        <v>335771549.76858163</v>
      </c>
      <c r="F58" s="39">
        <f ca="1">IF(SUM($C57:F57)-Assumptions!$C$66&lt;0,-SUM($C58:E58),((SUM($C57:F57)-Assumptions!$C$66)*Assumptions!$C$65)-SUM($C58:E58))</f>
        <v>336041263.74990284</v>
      </c>
      <c r="G58" s="39">
        <f ca="1">IF(SUM($C57:G57)-Assumptions!$C$66&lt;0,-SUM($C58:F58),((SUM($C57:G57)-Assumptions!$C$66)*Assumptions!$C$65)-SUM($C58:F58))</f>
        <v>336313674.87103701</v>
      </c>
      <c r="H58" s="39">
        <f ca="1">IF(SUM($C57:H57)-Assumptions!$C$66&lt;0,-SUM($C58:G58),((SUM($C57:H57)-Assumptions!$C$66)*Assumptions!$C$65)-SUM($C58:G58))</f>
        <v>336588810.10338283</v>
      </c>
      <c r="I58" s="39">
        <f ca="1">IF(SUM($C57:I57)-Assumptions!$C$66&lt;0,-SUM($C58:H58),((SUM($C57:I57)-Assumptions!$C$66)*Assumptions!$C$65)-SUM($C58:H58))</f>
        <v>336866696.68805218</v>
      </c>
      <c r="J58" s="39">
        <f ca="1">IF(SUM($C57:J57)-Assumptions!$C$66&lt;0,-SUM($C58:I58),((SUM($C57:J57)-Assumptions!$C$66)*Assumptions!$C$65)-SUM($C58:I58))</f>
        <v>337147362.1385684</v>
      </c>
      <c r="K58" s="39">
        <f ca="1">IF(SUM($C57:K57)-Assumptions!$C$66&lt;0,-SUM($C58:J58),((SUM($C57:K57)-Assumptions!$C$66)*Assumptions!$C$65)-SUM($C58:J58))</f>
        <v>337430834.24358892</v>
      </c>
      <c r="L58" s="39">
        <f ca="1">IF(SUM($C57:L57)-Assumptions!$C$66&lt;0,-SUM($C58:K58),((SUM($C57:L57)-Assumptions!$C$66)*Assumptions!$C$65)-SUM($C58:K58))</f>
        <v>337717141.06966019</v>
      </c>
      <c r="M58" s="39">
        <f ca="1">IF(SUM($C57:M57)-Assumptions!$C$66&lt;0,-SUM($C58:L58),((SUM($C57:M57)-Assumptions!$C$66)*Assumptions!$C$65)-SUM($C58:L58))</f>
        <v>338006310.9639926</v>
      </c>
      <c r="N58" s="39">
        <f ca="1">IF(SUM($C57:N57)-Assumptions!$C$66&lt;0,-SUM($C58:M58),((SUM($C57:N57)-Assumptions!$C$66)*Assumptions!$C$65)-SUM($C58:M58))</f>
        <v>254044685.05726767</v>
      </c>
      <c r="O58" s="40">
        <f ca="1">SUM(C58:N58)</f>
        <v>3956672941.5491133</v>
      </c>
      <c r="P58" s="40">
        <f ca="1">IF(SUM($O57:P57)-Assumptions!$C$66&lt;0,-SUM($O58:O58),((SUM($O57:P57)-Assumptions!$C$66)*Assumptions!$C$65)-SUM($O58:O58))</f>
        <v>4611266766.6854324</v>
      </c>
      <c r="Q58" s="40">
        <f ca="1">IF(SUM($O57:Q57)-Assumptions!$C$66&lt;0,-SUM($O58:P58),((SUM($O57:Q57)-Assumptions!$C$66)*Assumptions!$C$65)-SUM($O58:P58))</f>
        <v>5061679505.6839743</v>
      </c>
      <c r="R58" s="40">
        <f ca="1">IF(SUM($O57:R57)-Assumptions!$C$66&lt;0,-SUM($O58:Q58),((SUM($O57:R57)-Assumptions!$C$66)*Assumptions!$C$65)-SUM($O58:Q58))</f>
        <v>5702169642.2413654</v>
      </c>
      <c r="S58" s="40">
        <f ca="1">IF(SUM($O57:S57)-Assumptions!$C$66&lt;0,-SUM($O58:R58),((SUM($O57:S57)-Assumptions!$C$66)*Assumptions!$C$65)-SUM($O58:R58))</f>
        <v>6245982423.9052505</v>
      </c>
    </row>
    <row r="59" spans="1:19" ht="16.149999999999999" customHeight="1" x14ac:dyDescent="0.3">
      <c r="B59" s="2" t="s">
        <v>65</v>
      </c>
      <c r="C59" s="40">
        <f ca="1">SUM(C57,-C58)</f>
        <v>782226915.56884015</v>
      </c>
      <c r="D59" s="40">
        <f t="shared" ref="D59:S61" ca="1" si="23">SUM(D57,-D58)</f>
        <v>782843847.85301113</v>
      </c>
      <c r="E59" s="40">
        <f t="shared" ca="1" si="23"/>
        <v>783466949.46002364</v>
      </c>
      <c r="F59" s="40">
        <f t="shared" ca="1" si="23"/>
        <v>784096282.0831064</v>
      </c>
      <c r="G59" s="40">
        <f t="shared" ca="1" si="23"/>
        <v>784731908.03242016</v>
      </c>
      <c r="H59" s="40">
        <f t="shared" ca="1" si="23"/>
        <v>785373890.24122691</v>
      </c>
      <c r="I59" s="40">
        <f t="shared" ca="1" si="23"/>
        <v>786022292.27212167</v>
      </c>
      <c r="J59" s="40">
        <f t="shared" ca="1" si="23"/>
        <v>786677178.32332492</v>
      </c>
      <c r="K59" s="40">
        <f t="shared" ca="1" si="23"/>
        <v>787338613.23504138</v>
      </c>
      <c r="L59" s="40">
        <f t="shared" ca="1" si="23"/>
        <v>788006662.49587417</v>
      </c>
      <c r="M59" s="40">
        <f t="shared" ca="1" si="23"/>
        <v>788681392.24931502</v>
      </c>
      <c r="N59" s="40">
        <f t="shared" ca="1" si="23"/>
        <v>592770931.80029094</v>
      </c>
      <c r="O59" s="40">
        <f t="shared" ca="1" si="23"/>
        <v>9232236863.6145935</v>
      </c>
      <c r="P59" s="40">
        <f t="shared" ca="1" si="23"/>
        <v>10759622455.599348</v>
      </c>
      <c r="Q59" s="40">
        <f t="shared" ca="1" si="23"/>
        <v>11810585513.262604</v>
      </c>
      <c r="R59" s="40">
        <f t="shared" ca="1" si="23"/>
        <v>13305062498.563189</v>
      </c>
      <c r="S59" s="40">
        <f t="shared" ca="1" si="23"/>
        <v>14573958989.112255</v>
      </c>
    </row>
    <row r="60" spans="1:19" ht="16.149999999999999" customHeight="1" x14ac:dyDescent="0.3">
      <c r="A60" s="121" t="s">
        <v>240</v>
      </c>
      <c r="B60" s="5" t="s">
        <v>241</v>
      </c>
      <c r="C60" s="39">
        <f ca="1">BalanceSheet!D79</f>
        <v>0</v>
      </c>
      <c r="D60" s="39">
        <f ca="1">BalanceSheet!E79</f>
        <v>0</v>
      </c>
      <c r="E60" s="39">
        <f ca="1">BalanceSheet!F79</f>
        <v>0</v>
      </c>
      <c r="F60" s="39">
        <f ca="1">BalanceSheet!G79</f>
        <v>0</v>
      </c>
      <c r="G60" s="39">
        <f ca="1">BalanceSheet!H79</f>
        <v>0</v>
      </c>
      <c r="H60" s="39">
        <f ca="1">BalanceSheet!I79</f>
        <v>0</v>
      </c>
      <c r="I60" s="39">
        <f ca="1">BalanceSheet!J79</f>
        <v>0</v>
      </c>
      <c r="J60" s="39">
        <f ca="1">BalanceSheet!K79</f>
        <v>0</v>
      </c>
      <c r="K60" s="39">
        <f ca="1">BalanceSheet!L79</f>
        <v>0</v>
      </c>
      <c r="L60" s="39">
        <f ca="1">BalanceSheet!M79</f>
        <v>0</v>
      </c>
      <c r="M60" s="39">
        <f ca="1">BalanceSheet!N79</f>
        <v>0</v>
      </c>
      <c r="N60" s="39">
        <f ca="1">BalanceSheet!O79</f>
        <v>1938769741.3590653</v>
      </c>
      <c r="O60" s="39">
        <f ca="1">SUM(C60:N60)</f>
        <v>1938769741.3590653</v>
      </c>
      <c r="P60" s="39">
        <f ca="1">BalanceSheet!Q79</f>
        <v>2259520715.6758623</v>
      </c>
      <c r="Q60" s="39">
        <f ca="1">BalanceSheet!R79</f>
        <v>2480222957.7851477</v>
      </c>
      <c r="R60" s="39">
        <f ca="1">BalanceSheet!S79</f>
        <v>2794063124.6982689</v>
      </c>
      <c r="S60" s="39">
        <f ca="1">BalanceSheet!T79</f>
        <v>3060531387.7135735</v>
      </c>
    </row>
    <row r="61" spans="1:19" ht="16.149999999999999" customHeight="1" x14ac:dyDescent="0.3">
      <c r="B61" s="2" t="s">
        <v>242</v>
      </c>
      <c r="C61" s="40">
        <f ca="1">SUM(C59,-C60)</f>
        <v>782226915.56884015</v>
      </c>
      <c r="D61" s="40">
        <f t="shared" ca="1" si="23"/>
        <v>782843847.85301113</v>
      </c>
      <c r="E61" s="40">
        <f t="shared" ca="1" si="23"/>
        <v>783466949.46002364</v>
      </c>
      <c r="F61" s="40">
        <f t="shared" ca="1" si="23"/>
        <v>784096282.0831064</v>
      </c>
      <c r="G61" s="40">
        <f t="shared" ca="1" si="23"/>
        <v>784731908.03242016</v>
      </c>
      <c r="H61" s="40">
        <f t="shared" ca="1" si="23"/>
        <v>785373890.24122691</v>
      </c>
      <c r="I61" s="40">
        <f t="shared" ca="1" si="23"/>
        <v>786022292.27212167</v>
      </c>
      <c r="J61" s="40">
        <f t="shared" ca="1" si="23"/>
        <v>786677178.32332492</v>
      </c>
      <c r="K61" s="40">
        <f t="shared" ca="1" si="23"/>
        <v>787338613.23504138</v>
      </c>
      <c r="L61" s="40">
        <f t="shared" ca="1" si="23"/>
        <v>788006662.49587417</v>
      </c>
      <c r="M61" s="40">
        <f t="shared" ca="1" si="23"/>
        <v>788681392.24931502</v>
      </c>
      <c r="N61" s="40">
        <f t="shared" ca="1" si="23"/>
        <v>-1345998809.5587745</v>
      </c>
      <c r="O61" s="40">
        <f t="shared" ca="1" si="23"/>
        <v>7293467122.2555285</v>
      </c>
      <c r="P61" s="40">
        <f t="shared" ca="1" si="23"/>
        <v>8500101739.9234858</v>
      </c>
      <c r="Q61" s="40">
        <f t="shared" ca="1" si="23"/>
        <v>9330362555.4774551</v>
      </c>
      <c r="R61" s="40">
        <f t="shared" ca="1" si="23"/>
        <v>10510999373.86492</v>
      </c>
      <c r="S61" s="40">
        <f t="shared" ca="1" si="23"/>
        <v>11513427601.398682</v>
      </c>
    </row>
    <row r="62" spans="1:19" s="46" customFormat="1" ht="16.149999999999999" customHeight="1" x14ac:dyDescent="0.25">
      <c r="A62" s="126"/>
      <c r="B62" s="46" t="s">
        <v>66</v>
      </c>
      <c r="C62" s="53">
        <f t="shared" ref="C62:S62" ca="1" si="24">IF(C$7=0,0,C59/C$7)</f>
        <v>0.23470368725276544</v>
      </c>
      <c r="D62" s="53">
        <f t="shared" ca="1" si="24"/>
        <v>0.23488879502520116</v>
      </c>
      <c r="E62" s="53">
        <f t="shared" ca="1" si="24"/>
        <v>0.23507575387536114</v>
      </c>
      <c r="F62" s="53">
        <f t="shared" ca="1" si="24"/>
        <v>0.23526458231402281</v>
      </c>
      <c r="G62" s="53">
        <f t="shared" ca="1" si="24"/>
        <v>0.2354552990370711</v>
      </c>
      <c r="H62" s="53">
        <f t="shared" ca="1" si="24"/>
        <v>0.23564792292734987</v>
      </c>
      <c r="I62" s="53">
        <f t="shared" ca="1" si="24"/>
        <v>0.23584247305653139</v>
      </c>
      <c r="J62" s="53">
        <f t="shared" ca="1" si="24"/>
        <v>0.23603896868700458</v>
      </c>
      <c r="K62" s="53">
        <f t="shared" ca="1" si="24"/>
        <v>0.23623742927378288</v>
      </c>
      <c r="L62" s="53">
        <f t="shared" ca="1" si="24"/>
        <v>0.23643787446642869</v>
      </c>
      <c r="M62" s="53">
        <f t="shared" ca="1" si="24"/>
        <v>0.23664032411100089</v>
      </c>
      <c r="N62" s="53">
        <f t="shared" ca="1" si="24"/>
        <v>0.17785826672636662</v>
      </c>
      <c r="O62" s="54">
        <f t="shared" ca="1" si="24"/>
        <v>0.23084094806274047</v>
      </c>
      <c r="P62" s="54">
        <f t="shared" ca="1" si="24"/>
        <v>0.24910313209107307</v>
      </c>
      <c r="Q62" s="54">
        <f t="shared" ca="1" si="24"/>
        <v>0.2531802523847535</v>
      </c>
      <c r="R62" s="54">
        <f t="shared" ca="1" si="24"/>
        <v>0.26408976095893172</v>
      </c>
      <c r="S62" s="54">
        <f t="shared" ca="1" si="24"/>
        <v>0.26784801497171445</v>
      </c>
    </row>
    <row r="63" spans="1:19" ht="16.149999999999999" customHeight="1" x14ac:dyDescent="0.3">
      <c r="C63" s="55"/>
      <c r="D63" s="55"/>
      <c r="E63" s="55"/>
      <c r="F63" s="55"/>
      <c r="G63" s="56"/>
      <c r="H63" s="56"/>
      <c r="I63" s="56"/>
      <c r="J63" s="56"/>
      <c r="K63" s="56"/>
      <c r="L63" s="56"/>
      <c r="M63" s="56"/>
      <c r="N63" s="56"/>
      <c r="O63" s="57"/>
      <c r="P63" s="57"/>
      <c r="Q63" s="57"/>
      <c r="R63" s="57"/>
      <c r="S63" s="57"/>
    </row>
    <row r="65" spans="1:19" s="6" customFormat="1" ht="16.149999999999999" customHeight="1" x14ac:dyDescent="0.25">
      <c r="A65" s="131"/>
      <c r="B65" s="6" t="s">
        <v>50</v>
      </c>
      <c r="C65" s="58">
        <f ca="1">IF(C56=0,0,C50/C56)</f>
        <v>16.52510184853784</v>
      </c>
      <c r="D65" s="58">
        <f t="shared" ref="D65:S65" ca="1" si="25">IF(D56=0,0,D50/D56)</f>
        <v>16.729950856572113</v>
      </c>
      <c r="E65" s="58">
        <f t="shared" ca="1" si="25"/>
        <v>16.942068863031292</v>
      </c>
      <c r="F65" s="58">
        <f t="shared" ca="1" si="25"/>
        <v>17.161838687290697</v>
      </c>
      <c r="G65" s="58">
        <f t="shared" ca="1" si="25"/>
        <v>17.389670489108966</v>
      </c>
      <c r="H65" s="58">
        <f t="shared" ca="1" si="25"/>
        <v>17.626004254100742</v>
      </c>
      <c r="I65" s="58">
        <f t="shared" ca="1" si="25"/>
        <v>17.87131255537324</v>
      </c>
      <c r="J65" s="58">
        <f t="shared" ca="1" si="25"/>
        <v>18.126103627801154</v>
      </c>
      <c r="K65" s="58">
        <f t="shared" ca="1" si="25"/>
        <v>18.390924797025921</v>
      </c>
      <c r="L65" s="58">
        <f t="shared" ca="1" si="25"/>
        <v>18.666366311866849</v>
      </c>
      <c r="M65" s="58">
        <f t="shared" ca="1" si="25"/>
        <v>18.95306563662194</v>
      </c>
      <c r="N65" s="58">
        <f t="shared" ca="1" si="25"/>
        <v>14.706097549547287</v>
      </c>
      <c r="O65" s="59">
        <f t="shared" ca="1" si="25"/>
        <v>17.412572082159087</v>
      </c>
      <c r="P65" s="59">
        <f t="shared" ca="1" si="25"/>
        <v>24.224928253789322</v>
      </c>
      <c r="Q65" s="59">
        <f t="shared" ca="1" si="25"/>
        <v>34.604060748184807</v>
      </c>
      <c r="R65" s="59">
        <f t="shared" ca="1" si="25"/>
        <v>60.011396289566704</v>
      </c>
      <c r="S65" s="59">
        <f t="shared" ca="1" si="25"/>
        <v>175.56071455927821</v>
      </c>
    </row>
    <row r="66" spans="1:19" s="61" customFormat="1" ht="16.149999999999999" customHeight="1" x14ac:dyDescent="0.25">
      <c r="A66" s="131"/>
      <c r="B66" s="6" t="s">
        <v>54</v>
      </c>
      <c r="C66" s="60">
        <f ca="1">IF(BalanceSheet!D$24=0,0,C59/BalanceSheet!D$24)</f>
        <v>0.37576732419891756</v>
      </c>
      <c r="D66" s="60">
        <f ca="1">IF(BalanceSheet!E$24=0,0,D59/BalanceSheet!E$24)</f>
        <v>0.27328944916155762</v>
      </c>
      <c r="E66" s="60">
        <f ca="1">IF(BalanceSheet!F$24=0,0,E59/BalanceSheet!F$24)</f>
        <v>0.21476676507836406</v>
      </c>
      <c r="F66" s="60">
        <f ca="1">IF(BalanceSheet!G$24=0,0,F59/BalanceSheet!G$24)</f>
        <v>0.17691359850661367</v>
      </c>
      <c r="G66" s="61">
        <f ca="1">IF(BalanceSheet!H$24=0,0,G59/BalanceSheet!H$24)</f>
        <v>0.15042348089856922</v>
      </c>
      <c r="H66" s="61">
        <f ca="1">IF(BalanceSheet!I$24=0,0,H59/BalanceSheet!I$24)</f>
        <v>0.13084784982325717</v>
      </c>
      <c r="I66" s="61">
        <f ca="1">IF(BalanceSheet!J$24=0,0,I59/BalanceSheet!J$24)</f>
        <v>0.11579220727078365</v>
      </c>
      <c r="J66" s="61">
        <f ca="1">IF(BalanceSheet!K$24=0,0,J59/BalanceSheet!K$24)</f>
        <v>0.10385326350268914</v>
      </c>
      <c r="K66" s="61">
        <f ca="1">IF(BalanceSheet!L$24=0,0,K59/BalanceSheet!L$24)</f>
        <v>9.4154146071520145E-2</v>
      </c>
      <c r="L66" s="61">
        <f ca="1">IF(BalanceSheet!M$24=0,0,L59/BalanceSheet!M$24)</f>
        <v>8.6118720447794603E-2</v>
      </c>
      <c r="M66" s="61">
        <f ca="1">IF(BalanceSheet!N$24=0,0,M59/BalanceSheet!N$24)</f>
        <v>7.9352842808381813E-2</v>
      </c>
      <c r="N66" s="61">
        <f ca="1">IF(BalanceSheet!O$24=0,0,N59/BalanceSheet!O$24)</f>
        <v>6.8983650775207087E-2</v>
      </c>
      <c r="O66" s="62">
        <f ca="1">IF(BalanceSheet!P$24=0,0,O59/BalanceSheet!P$24)</f>
        <v>1.0744005306389581</v>
      </c>
      <c r="P66" s="62">
        <f ca="1">IF(BalanceSheet!Q$24=0,0,P59/BalanceSheet!Q$24)</f>
        <v>0.62947459919364934</v>
      </c>
      <c r="Q66" s="62">
        <f ca="1">IF(BalanceSheet!R$24=0,0,Q59/BalanceSheet!R$24)</f>
        <v>0.44697476197607539</v>
      </c>
      <c r="R66" s="62">
        <f ca="1">IF(BalanceSheet!S$24=0,0,R59/BalanceSheet!S$24)</f>
        <v>0.36023513846230337</v>
      </c>
      <c r="S66" s="62">
        <f ca="1">IF(BalanceSheet!T$24=0,0,S59/BalanceSheet!T$24)</f>
        <v>0.30081770200171604</v>
      </c>
    </row>
    <row r="67" spans="1:19" s="61" customFormat="1" ht="16.149999999999999" customHeight="1" x14ac:dyDescent="0.25">
      <c r="A67" s="131"/>
      <c r="B67" s="6" t="s">
        <v>55</v>
      </c>
      <c r="C67" s="60">
        <f ca="1">IF(BalanceSheet!D18-BalanceSheet!D40=0,0,C59/(BalanceSheet!D18-BalanceSheet!D40))</f>
        <v>8.5104647127349178E-2</v>
      </c>
      <c r="D67" s="60">
        <f ca="1">IF(BalanceSheet!E18-BalanceSheet!E40=0,0,D59/(BalanceSheet!E18-BalanceSheet!E40))</f>
        <v>7.9193662183757965E-2</v>
      </c>
      <c r="E67" s="60">
        <f ca="1">IF(BalanceSheet!F18-BalanceSheet!F40=0,0,E59/(BalanceSheet!F18-BalanceSheet!F40))</f>
        <v>7.4060479162231699E-2</v>
      </c>
      <c r="F67" s="60">
        <f ca="1">IF(BalanceSheet!G18-BalanceSheet!G40=0,0,F59/(BalanceSheet!G18-BalanceSheet!G40))</f>
        <v>6.9561182049589637E-2</v>
      </c>
      <c r="G67" s="60">
        <f ca="1">IF(BalanceSheet!H18-BalanceSheet!H40=0,0,G59/(BalanceSheet!H18-BalanceSheet!H40))</f>
        <v>6.5585298649070117E-2</v>
      </c>
      <c r="H67" s="60">
        <f ca="1">IF(BalanceSheet!I18-BalanceSheet!I40=0,0,H59/(BalanceSheet!I18-BalanceSheet!I40))</f>
        <v>6.2046619229470072E-2</v>
      </c>
      <c r="I67" s="60">
        <f ca="1">IF(BalanceSheet!J18-BalanceSheet!J40=0,0,I59/(BalanceSheet!J18-BalanceSheet!J40))</f>
        <v>5.8876882419299045E-2</v>
      </c>
      <c r="J67" s="60">
        <f ca="1">IF(BalanceSheet!K18-BalanceSheet!K40=0,0,J59/(BalanceSheet!K18-BalanceSheet!K40))</f>
        <v>5.6021335380544615E-2</v>
      </c>
      <c r="K67" s="60">
        <f ca="1">IF(BalanceSheet!L18-BalanceSheet!L40=0,0,K59/(BalanceSheet!L18-BalanceSheet!L40))</f>
        <v>5.343554977262336E-2</v>
      </c>
      <c r="L67" s="60">
        <f ca="1">IF(BalanceSheet!M18-BalanceSheet!M40=0,0,L59/(BalanceSheet!M18-BalanceSheet!M40))</f>
        <v>5.108309776668031E-2</v>
      </c>
      <c r="M67" s="60">
        <f ca="1">IF(BalanceSheet!N18-BalanceSheet!N40=0,0,M59/(BalanceSheet!N18-BalanceSheet!N40))</f>
        <v>4.893382875655046E-2</v>
      </c>
      <c r="N67" s="60">
        <f ca="1">IF(BalanceSheet!O18-BalanceSheet!O40=0,0,N59/(BalanceSheet!O18-BalanceSheet!O40))</f>
        <v>4.0398816231917198E-2</v>
      </c>
      <c r="O67" s="63">
        <f ca="1">IF(BalanceSheet!P18-BalanceSheet!P40=0,0,O59/(BalanceSheet!P18-BalanceSheet!P40))</f>
        <v>0.62919994968369075</v>
      </c>
      <c r="P67" s="63">
        <f ca="1">IF(BalanceSheet!Q18-BalanceSheet!Q40=0,0,P59/(BalanceSheet!Q18-BalanceSheet!Q40))</f>
        <v>0.49100268481668957</v>
      </c>
      <c r="Q67" s="63">
        <f ca="1">IF(BalanceSheet!R18-BalanceSheet!R40=0,0,Q59/(BalanceSheet!R18-BalanceSheet!R40))</f>
        <v>0.39600029081149934</v>
      </c>
      <c r="R67" s="63">
        <f ca="1">IF(BalanceSheet!S18-BalanceSheet!S40=0,0,R59/(BalanceSheet!S18-BalanceSheet!S40))</f>
        <v>0.34347658005340076</v>
      </c>
      <c r="S67" s="63">
        <f ca="1">IF(BalanceSheet!T18-BalanceSheet!T40=0,0,S59/(BalanceSheet!T18-BalanceSheet!T40))</f>
        <v>0.30081770200171609</v>
      </c>
    </row>
    <row r="70" spans="1:19" s="64" customFormat="1" ht="16.149999999999999" customHeight="1" x14ac:dyDescent="0.3">
      <c r="A70" s="121"/>
      <c r="O70" s="65"/>
      <c r="P70" s="65"/>
      <c r="Q70" s="65"/>
      <c r="R70" s="65"/>
      <c r="S70" s="65"/>
    </row>
    <row r="75" spans="1:19" s="64" customFormat="1" ht="16.149999999999999" customHeight="1" x14ac:dyDescent="0.3">
      <c r="A75" s="121"/>
      <c r="O75" s="65"/>
      <c r="P75" s="65"/>
      <c r="Q75" s="65"/>
      <c r="R75" s="65"/>
      <c r="S75" s="65"/>
    </row>
    <row r="76" spans="1:19" s="64" customFormat="1" ht="16.149999999999999" customHeight="1" x14ac:dyDescent="0.3">
      <c r="A76" s="121"/>
      <c r="O76" s="65"/>
      <c r="P76" s="65"/>
      <c r="Q76" s="65"/>
      <c r="R76" s="65"/>
      <c r="S76" s="65"/>
    </row>
    <row r="91" spans="1:19" s="64" customFormat="1" ht="16.149999999999999" customHeight="1" x14ac:dyDescent="0.3">
      <c r="A91" s="121"/>
      <c r="O91" s="65"/>
      <c r="P91" s="65"/>
      <c r="Q91" s="65"/>
      <c r="R91" s="65"/>
      <c r="S91" s="65"/>
    </row>
  </sheetData>
  <phoneticPr fontId="3" type="noConversion"/>
  <pageMargins left="0.59055118110236227" right="0.59055118110236227" top="0.59055118110236227" bottom="0.59055118110236227" header="0.39370078740157483" footer="0.39370078740157483"/>
  <pageSetup paperSize="9" scale="48" fitToWidth="0" orientation="landscape"/>
  <headerFooter alignWithMargins="0">
    <oddFooter>&amp;C&amp;9Page &amp;P of &amp;N</oddFooter>
  </headerFooter>
  <colBreaks count="1" manualBreakCount="1">
    <brk id="15" max="63" man="1"/>
  </colBreaks>
  <ignoredErrors>
    <ignoredError sqref="C60:N60 P60:S6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7"/>
  <sheetViews>
    <sheetView zoomScale="95" zoomScaleNormal="95" workbookViewId="0">
      <pane xSplit="2" ySplit="4" topLeftCell="C29" activePane="bottomRight" state="frozen"/>
      <selection pane="topRight" activeCell="C1" sqref="C1"/>
      <selection pane="bottomLeft" activeCell="A5" sqref="A5"/>
      <selection pane="bottomRight" activeCell="P31" sqref="P31"/>
    </sheetView>
  </sheetViews>
  <sheetFormatPr defaultColWidth="9.140625" defaultRowHeight="16.149999999999999" customHeight="1" x14ac:dyDescent="0.3"/>
  <cols>
    <col min="1" max="1" width="5.7109375" style="116" customWidth="1"/>
    <col min="2" max="2" width="44.7109375" style="5" customWidth="1"/>
    <col min="3" max="3" width="15.7109375" style="66" bestFit="1" customWidth="1"/>
    <col min="4" max="4" width="15.5703125" style="66" bestFit="1" customWidth="1"/>
    <col min="5" max="5" width="14.85546875" style="66" bestFit="1" customWidth="1"/>
    <col min="6" max="7" width="15" style="66" bestFit="1" customWidth="1"/>
    <col min="8" max="8" width="15.5703125" style="66" bestFit="1" customWidth="1"/>
    <col min="9" max="12" width="15" style="66" bestFit="1" customWidth="1"/>
    <col min="13" max="19" width="16.140625" style="66" bestFit="1" customWidth="1"/>
    <col min="20" max="25" width="9.140625" style="5" customWidth="1"/>
    <col min="26" max="16384" width="9.140625" style="5"/>
  </cols>
  <sheetData>
    <row r="1" spans="1:19" ht="16.149999999999999" customHeight="1" x14ac:dyDescent="0.3">
      <c r="B1" s="135" t="str">
        <f>IF(ISBLANK(Assumptions!$C$4),"Example Limited",Assumptions!$C$4)</f>
        <v>Maisha Transport Company Limited</v>
      </c>
      <c r="C1" s="11"/>
      <c r="D1" s="11"/>
      <c r="E1" s="11"/>
      <c r="F1" s="11"/>
    </row>
    <row r="2" spans="1:19" ht="16.149999999999999" customHeight="1" x14ac:dyDescent="0.3">
      <c r="B2" s="6" t="s">
        <v>68</v>
      </c>
      <c r="C2" s="11"/>
      <c r="D2" s="11"/>
      <c r="E2" s="11"/>
      <c r="F2" s="11"/>
    </row>
    <row r="3" spans="1:19" ht="16.149999999999999" customHeight="1" x14ac:dyDescent="0.3">
      <c r="B3" s="30" t="s">
        <v>57</v>
      </c>
      <c r="C3" s="11"/>
      <c r="D3" s="11"/>
      <c r="E3" s="11"/>
      <c r="F3" s="11"/>
    </row>
    <row r="4" spans="1:19" s="34" customFormat="1" ht="18" customHeight="1" x14ac:dyDescent="0.25">
      <c r="A4" s="132"/>
      <c r="B4" s="31"/>
      <c r="C4" s="32">
        <f ca="1">IF(ISBLANK(Assumptions!$C$5)=TRUE,DATE(YEAR(TODAY()),MONTH(TODAY())+1,0),DATE(YEAR(Assumptions!$C$5),MONTH(Assumptions!$C$5)+1,0))</f>
        <v>45869</v>
      </c>
      <c r="D4" s="32">
        <f ca="1">DATE(YEAR(C4),MONTH(C4)+2,0)</f>
        <v>45900</v>
      </c>
      <c r="E4" s="32">
        <f t="shared" ref="E4:M4" ca="1" si="0">DATE(YEAR(D4),MONTH(D4)+2,0)</f>
        <v>45930</v>
      </c>
      <c r="F4" s="32">
        <f t="shared" ca="1" si="0"/>
        <v>45961</v>
      </c>
      <c r="G4" s="32">
        <f t="shared" ca="1" si="0"/>
        <v>45991</v>
      </c>
      <c r="H4" s="32">
        <f t="shared" ca="1" si="0"/>
        <v>46022</v>
      </c>
      <c r="I4" s="32">
        <f t="shared" ca="1" si="0"/>
        <v>46053</v>
      </c>
      <c r="J4" s="32">
        <f t="shared" ca="1" si="0"/>
        <v>46081</v>
      </c>
      <c r="K4" s="32">
        <f t="shared" ca="1" si="0"/>
        <v>46112</v>
      </c>
      <c r="L4" s="32">
        <f t="shared" ca="1" si="0"/>
        <v>46142</v>
      </c>
      <c r="M4" s="32">
        <f t="shared" ca="1" si="0"/>
        <v>46173</v>
      </c>
      <c r="N4" s="32">
        <f ca="1">DATE(YEAR(M4),MONTH(M4)+2,0)</f>
        <v>46203</v>
      </c>
      <c r="O4" s="33" t="str">
        <f ca="1">"Year-"&amp;YEAR(N4)</f>
        <v>Year-2026</v>
      </c>
      <c r="P4" s="33" t="str">
        <f ca="1">"Year-"&amp;YEAR($N4)+1</f>
        <v>Year-2027</v>
      </c>
      <c r="Q4" s="33" t="str">
        <f ca="1">"Year-"&amp;YEAR($N4)+2</f>
        <v>Year-2028</v>
      </c>
      <c r="R4" s="33" t="str">
        <f ca="1">"Year-"&amp;YEAR($N4)+3</f>
        <v>Year-2029</v>
      </c>
      <c r="S4" s="33" t="str">
        <f ca="1">"Year-"&amp;YEAR($N4)+4</f>
        <v>Year-2030</v>
      </c>
    </row>
    <row r="5" spans="1:19" s="2" customFormat="1" ht="16.149999999999999" customHeight="1" x14ac:dyDescent="0.25">
      <c r="A5" s="129"/>
      <c r="B5" s="2" t="s">
        <v>70</v>
      </c>
      <c r="C5" s="67"/>
      <c r="D5" s="67"/>
      <c r="E5" s="67"/>
      <c r="F5" s="67"/>
      <c r="G5" s="67"/>
      <c r="H5" s="67"/>
      <c r="I5" s="67"/>
      <c r="J5" s="67"/>
      <c r="K5" s="67"/>
      <c r="L5" s="67"/>
      <c r="M5" s="67"/>
      <c r="N5" s="67"/>
      <c r="O5" s="67"/>
      <c r="P5" s="67"/>
      <c r="Q5" s="67"/>
      <c r="R5" s="67"/>
      <c r="S5" s="67"/>
    </row>
    <row r="6" spans="1:19" s="11" customFormat="1" ht="16.149999999999999" customHeight="1" x14ac:dyDescent="0.3">
      <c r="A6" s="124"/>
      <c r="B6" s="43" t="s">
        <v>65</v>
      </c>
      <c r="C6" s="39">
        <f ca="1">IncState!C59</f>
        <v>782226915.56884015</v>
      </c>
      <c r="D6" s="39">
        <f ca="1">IncState!D59</f>
        <v>782843847.85301113</v>
      </c>
      <c r="E6" s="39">
        <f ca="1">IncState!E59</f>
        <v>783466949.46002364</v>
      </c>
      <c r="F6" s="39">
        <f ca="1">IncState!F59</f>
        <v>784096282.0831064</v>
      </c>
      <c r="G6" s="39">
        <f ca="1">IncState!G59</f>
        <v>784731908.03242016</v>
      </c>
      <c r="H6" s="39">
        <f ca="1">IncState!H59</f>
        <v>785373890.24122691</v>
      </c>
      <c r="I6" s="39">
        <f ca="1">IncState!I59</f>
        <v>786022292.27212167</v>
      </c>
      <c r="J6" s="39">
        <f ca="1">IncState!J59</f>
        <v>786677178.32332492</v>
      </c>
      <c r="K6" s="39">
        <f ca="1">IncState!K59</f>
        <v>787338613.23504138</v>
      </c>
      <c r="L6" s="39">
        <f ca="1">IncState!L59</f>
        <v>788006662.49587417</v>
      </c>
      <c r="M6" s="39">
        <f ca="1">IncState!M59</f>
        <v>788681392.24931502</v>
      </c>
      <c r="N6" s="39">
        <f ca="1">IncState!N59</f>
        <v>592770931.80029094</v>
      </c>
      <c r="O6" s="39">
        <f ca="1">SUM(C6:N6)</f>
        <v>9232236863.6145973</v>
      </c>
      <c r="P6" s="39">
        <f ca="1">IncState!P59</f>
        <v>10759622455.599348</v>
      </c>
      <c r="Q6" s="39">
        <f ca="1">IncState!Q59</f>
        <v>11810585513.262604</v>
      </c>
      <c r="R6" s="39">
        <f ca="1">IncState!R59</f>
        <v>13305062498.563189</v>
      </c>
      <c r="S6" s="39">
        <f ca="1">IncState!S59</f>
        <v>14573958989.112255</v>
      </c>
    </row>
    <row r="7" spans="1:19" s="11" customFormat="1" ht="16.149999999999999" customHeight="1" x14ac:dyDescent="0.3">
      <c r="A7" s="124" t="s">
        <v>168</v>
      </c>
      <c r="B7" s="43" t="s">
        <v>41</v>
      </c>
      <c r="C7" s="39">
        <f ca="1">IncState!C56</f>
        <v>71978079.959999993</v>
      </c>
      <c r="D7" s="39">
        <f ca="1">IncState!D56</f>
        <v>71096748.125470102</v>
      </c>
      <c r="E7" s="39">
        <f ca="1">IncState!E56</f>
        <v>70206602.972594902</v>
      </c>
      <c r="F7" s="39">
        <f ca="1">IncState!F56</f>
        <v>69307556.368190959</v>
      </c>
      <c r="G7" s="39">
        <f ca="1">IncState!G56</f>
        <v>68399519.297742978</v>
      </c>
      <c r="H7" s="39">
        <f ca="1">IncState!H56</f>
        <v>67482401.856590509</v>
      </c>
      <c r="I7" s="39">
        <f ca="1">IncState!I56</f>
        <v>66556113.241026513</v>
      </c>
      <c r="J7" s="39">
        <f ca="1">IncState!J56</f>
        <v>65620561.739306889</v>
      </c>
      <c r="K7" s="39">
        <f ca="1">IncState!K56</f>
        <v>64675654.722570054</v>
      </c>
      <c r="L7" s="39">
        <f ca="1">IncState!L56</f>
        <v>63721298.635665864</v>
      </c>
      <c r="M7" s="39">
        <f ca="1">IncState!M56</f>
        <v>62757398.987892628</v>
      </c>
      <c r="N7" s="39">
        <f ca="1">IncState!N56</f>
        <v>61783860.343641646</v>
      </c>
      <c r="O7" s="39">
        <f t="shared" ref="O7:O8" ca="1" si="1">SUM(C7:N7)</f>
        <v>803585796.25069308</v>
      </c>
      <c r="P7" s="39">
        <f ca="1">IncState!P56</f>
        <v>661827199.39196813</v>
      </c>
      <c r="Q7" s="39">
        <f ca="1">IncState!Q56</f>
        <v>502090064.21516985</v>
      </c>
      <c r="R7" s="39">
        <f ca="1">IncState!R56</f>
        <v>322094262.05637944</v>
      </c>
      <c r="S7" s="39">
        <f ca="1">IncState!S56</f>
        <v>119270486.86517243</v>
      </c>
    </row>
    <row r="8" spans="1:19" s="11" customFormat="1" ht="16.149999999999999" customHeight="1" x14ac:dyDescent="0.3">
      <c r="A8" s="124" t="s">
        <v>134</v>
      </c>
      <c r="B8" s="43" t="s">
        <v>37</v>
      </c>
      <c r="C8" s="39">
        <f ca="1">IncState!C58</f>
        <v>335240106.67236006</v>
      </c>
      <c r="D8" s="39">
        <f ca="1">IncState!D58</f>
        <v>335504506.22271895</v>
      </c>
      <c r="E8" s="39">
        <f ca="1">IncState!E58</f>
        <v>335771549.76858163</v>
      </c>
      <c r="F8" s="39">
        <f ca="1">IncState!F58</f>
        <v>336041263.74990284</v>
      </c>
      <c r="G8" s="39">
        <f ca="1">IncState!G58</f>
        <v>336313674.87103701</v>
      </c>
      <c r="H8" s="39">
        <f ca="1">IncState!H58</f>
        <v>336588810.10338283</v>
      </c>
      <c r="I8" s="39">
        <f ca="1">IncState!I58</f>
        <v>336866696.68805218</v>
      </c>
      <c r="J8" s="39">
        <f ca="1">IncState!J58</f>
        <v>337147362.1385684</v>
      </c>
      <c r="K8" s="39">
        <f ca="1">IncState!K58</f>
        <v>337430834.24358892</v>
      </c>
      <c r="L8" s="39">
        <f ca="1">IncState!L58</f>
        <v>337717141.06966019</v>
      </c>
      <c r="M8" s="39">
        <f ca="1">IncState!M58</f>
        <v>338006310.9639926</v>
      </c>
      <c r="N8" s="39">
        <f ca="1">IncState!N58</f>
        <v>254044685.05726767</v>
      </c>
      <c r="O8" s="39">
        <f t="shared" ca="1" si="1"/>
        <v>3956672941.5491133</v>
      </c>
      <c r="P8" s="39">
        <f ca="1">IncState!P58</f>
        <v>4611266766.6854324</v>
      </c>
      <c r="Q8" s="39">
        <f ca="1">IncState!Q58</f>
        <v>5061679505.6839743</v>
      </c>
      <c r="R8" s="39">
        <f ca="1">IncState!R58</f>
        <v>5702169642.2413654</v>
      </c>
      <c r="S8" s="39">
        <f ca="1">IncState!S58</f>
        <v>6245982423.9052505</v>
      </c>
    </row>
    <row r="9" spans="1:19" s="6" customFormat="1" ht="16.149999999999999" customHeight="1" x14ac:dyDescent="0.25">
      <c r="A9" s="131"/>
      <c r="B9" s="6" t="s">
        <v>71</v>
      </c>
      <c r="C9" s="68"/>
      <c r="D9" s="68"/>
      <c r="E9" s="68"/>
      <c r="F9" s="68"/>
      <c r="G9" s="68"/>
      <c r="H9" s="68"/>
      <c r="I9" s="68"/>
      <c r="J9" s="68"/>
      <c r="K9" s="68"/>
      <c r="L9" s="68"/>
      <c r="M9" s="68"/>
      <c r="N9" s="68"/>
      <c r="O9" s="68"/>
      <c r="P9" s="68"/>
      <c r="Q9" s="68"/>
      <c r="R9" s="68"/>
      <c r="S9" s="68"/>
    </row>
    <row r="10" spans="1:19" ht="16.149999999999999" customHeight="1" x14ac:dyDescent="0.3">
      <c r="A10" s="121" t="s">
        <v>162</v>
      </c>
      <c r="B10" s="5" t="s">
        <v>67</v>
      </c>
      <c r="C10" s="69">
        <f ca="1">SUMIF(IncState!$A$4:$AO$63,$A10,IncState!C$4:C$63)</f>
        <v>0</v>
      </c>
      <c r="D10" s="69">
        <f ca="1">SUMIF(IncState!$A$4:$AO$63,$A10,IncState!D$4:D$63)</f>
        <v>0</v>
      </c>
      <c r="E10" s="69">
        <f ca="1">SUMIF(IncState!$A$4:$AO$63,$A10,IncState!E$4:E$63)</f>
        <v>0</v>
      </c>
      <c r="F10" s="69">
        <f ca="1">SUMIF(IncState!$A$4:$AO$63,$A10,IncState!F$4:F$63)</f>
        <v>0</v>
      </c>
      <c r="G10" s="69">
        <f ca="1">SUMIF(IncState!$A$4:$AO$63,$A10,IncState!G$4:G$63)</f>
        <v>0</v>
      </c>
      <c r="H10" s="69">
        <f ca="1">SUMIF(IncState!$A$4:$AO$63,$A10,IncState!H$4:H$63)</f>
        <v>0</v>
      </c>
      <c r="I10" s="69">
        <f ca="1">SUMIF(IncState!$A$4:$AO$63,$A10,IncState!I$4:I$63)</f>
        <v>0</v>
      </c>
      <c r="J10" s="69">
        <f ca="1">SUMIF(IncState!$A$4:$AO$63,$A10,IncState!J$4:J$63)</f>
        <v>0</v>
      </c>
      <c r="K10" s="69">
        <f ca="1">SUMIF(IncState!$A$4:$AO$63,$A10,IncState!K$4:K$63)</f>
        <v>0</v>
      </c>
      <c r="L10" s="69">
        <f ca="1">SUMIF(IncState!$A$4:$AO$63,$A10,IncState!L$4:L$63)</f>
        <v>0</v>
      </c>
      <c r="M10" s="69">
        <f ca="1">SUMIF(IncState!$A$4:$AO$63,$A10,IncState!M$4:M$63)</f>
        <v>0</v>
      </c>
      <c r="N10" s="69">
        <f ca="1">SUMIF(IncState!$A$4:$AO$63,$A10,IncState!N$4:N$63)</f>
        <v>280845625</v>
      </c>
      <c r="O10" s="39">
        <f t="shared" ref="O10:O12" ca="1" si="2">SUM(C10:N10)</f>
        <v>280845625</v>
      </c>
      <c r="P10" s="69">
        <f ca="1">SUMIF(IncState!$A$4:$AO$63,$A10,IncState!P$4:P$63)</f>
        <v>280845625</v>
      </c>
      <c r="Q10" s="69">
        <f ca="1">SUMIF(IncState!$A$4:$AO$63,$A10,IncState!Q$4:Q$63)</f>
        <v>280845625</v>
      </c>
      <c r="R10" s="69">
        <f ca="1">SUMIF(IncState!$A$4:$AO$63,$A10,IncState!R$4:R$63)</f>
        <v>280845625</v>
      </c>
      <c r="S10" s="69">
        <f ca="1">SUMIF(IncState!$A$4:$AO$63,$A10,IncState!S$4:S$63)</f>
        <v>280845625</v>
      </c>
    </row>
    <row r="11" spans="1:19" ht="16.149999999999999" customHeight="1" x14ac:dyDescent="0.3">
      <c r="A11" s="121" t="s">
        <v>163</v>
      </c>
      <c r="B11" s="5" t="s">
        <v>164</v>
      </c>
      <c r="C11" s="69">
        <f ca="1">SUMIF(IncState!$A$4:$AO$63,$A11,IncState!C$4:C$63)</f>
        <v>0</v>
      </c>
      <c r="D11" s="69">
        <f ca="1">SUMIF(IncState!$A$4:$AO$63,$A11,IncState!D$4:D$63)</f>
        <v>0</v>
      </c>
      <c r="E11" s="69">
        <f ca="1">SUMIF(IncState!$A$4:$AO$63,$A11,IncState!E$4:E$63)</f>
        <v>0</v>
      </c>
      <c r="F11" s="69">
        <f ca="1">SUMIF(IncState!$A$4:$AO$63,$A11,IncState!F$4:F$63)</f>
        <v>0</v>
      </c>
      <c r="G11" s="69">
        <f ca="1">SUMIF(IncState!$A$4:$AO$63,$A11,IncState!G$4:G$63)</f>
        <v>0</v>
      </c>
      <c r="H11" s="69">
        <f ca="1">SUMIF(IncState!$A$4:$AO$63,$A11,IncState!H$4:H$63)</f>
        <v>0</v>
      </c>
      <c r="I11" s="69">
        <f ca="1">SUMIF(IncState!$A$4:$AO$63,$A11,IncState!I$4:I$63)</f>
        <v>0</v>
      </c>
      <c r="J11" s="69">
        <f ca="1">SUMIF(IncState!$A$4:$AO$63,$A11,IncState!J$4:J$63)</f>
        <v>0</v>
      </c>
      <c r="K11" s="69">
        <f ca="1">SUMIF(IncState!$A$4:$AO$63,$A11,IncState!K$4:K$63)</f>
        <v>0</v>
      </c>
      <c r="L11" s="69">
        <f ca="1">SUMIF(IncState!$A$4:$AO$63,$A11,IncState!L$4:L$63)</f>
        <v>0</v>
      </c>
      <c r="M11" s="69">
        <f ca="1">SUMIF(IncState!$A$4:$AO$63,$A11,IncState!M$4:M$63)</f>
        <v>0</v>
      </c>
      <c r="N11" s="69">
        <f ca="1">SUMIF(IncState!$A$4:$AO$63,$A11,IncState!N$4:N$63)</f>
        <v>0</v>
      </c>
      <c r="O11" s="39">
        <f t="shared" ca="1" si="2"/>
        <v>0</v>
      </c>
      <c r="P11" s="69">
        <f ca="1">SUMIF(IncState!$A$4:$AO$63,$A11,IncState!P$4:P$63)</f>
        <v>0</v>
      </c>
      <c r="Q11" s="69">
        <f ca="1">SUMIF(IncState!$A$4:$AO$63,$A11,IncState!Q$4:Q$63)</f>
        <v>0</v>
      </c>
      <c r="R11" s="69">
        <f ca="1">SUMIF(IncState!$A$4:$AO$63,$A11,IncState!R$4:R$63)</f>
        <v>0</v>
      </c>
      <c r="S11" s="69">
        <f ca="1">SUMIF(IncState!$A$4:$AO$63,$A11,IncState!S$4:S$63)</f>
        <v>0</v>
      </c>
    </row>
    <row r="12" spans="1:19" ht="16.149999999999999" customHeight="1" x14ac:dyDescent="0.3">
      <c r="A12" s="123" t="s">
        <v>113</v>
      </c>
      <c r="B12" s="5" t="s">
        <v>114</v>
      </c>
      <c r="C12" s="69">
        <v>0</v>
      </c>
      <c r="D12" s="69">
        <v>0</v>
      </c>
      <c r="E12" s="69">
        <v>0</v>
      </c>
      <c r="F12" s="69">
        <v>0</v>
      </c>
      <c r="G12" s="69">
        <v>0</v>
      </c>
      <c r="H12" s="69">
        <v>0</v>
      </c>
      <c r="I12" s="69">
        <v>0</v>
      </c>
      <c r="J12" s="69">
        <v>0</v>
      </c>
      <c r="K12" s="69">
        <v>0</v>
      </c>
      <c r="L12" s="69">
        <v>0</v>
      </c>
      <c r="M12" s="69">
        <v>0</v>
      </c>
      <c r="N12" s="69">
        <v>0</v>
      </c>
      <c r="O12" s="39">
        <f t="shared" si="2"/>
        <v>0</v>
      </c>
      <c r="P12" s="69">
        <f>Assumptions!D34</f>
        <v>0</v>
      </c>
      <c r="Q12" s="69">
        <f>Assumptions!E34</f>
        <v>0</v>
      </c>
      <c r="R12" s="69">
        <f>Assumptions!F34</f>
        <v>0</v>
      </c>
      <c r="S12" s="69">
        <f>Assumptions!G34</f>
        <v>0</v>
      </c>
    </row>
    <row r="13" spans="1:19" s="2" customFormat="1" ht="16.149999999999999" customHeight="1" x14ac:dyDescent="0.3">
      <c r="A13" s="121"/>
      <c r="B13" s="6" t="s">
        <v>72</v>
      </c>
      <c r="C13" s="40"/>
      <c r="D13" s="40"/>
      <c r="E13" s="40"/>
      <c r="F13" s="40"/>
      <c r="G13" s="40"/>
      <c r="H13" s="40"/>
      <c r="I13" s="40"/>
      <c r="J13" s="40"/>
      <c r="K13" s="40"/>
      <c r="L13" s="40"/>
      <c r="M13" s="40"/>
      <c r="N13" s="40"/>
      <c r="O13" s="40"/>
      <c r="P13" s="40"/>
      <c r="Q13" s="40"/>
      <c r="R13" s="40"/>
      <c r="S13" s="40"/>
    </row>
    <row r="14" spans="1:19" s="11" customFormat="1" ht="16.149999999999999" customHeight="1" x14ac:dyDescent="0.3">
      <c r="A14" s="124" t="s">
        <v>105</v>
      </c>
      <c r="B14" s="43" t="s">
        <v>25</v>
      </c>
      <c r="C14" s="39">
        <f ca="1">BalanceSheet!C12-BalanceSheet!D12</f>
        <v>-1935190191.822387</v>
      </c>
      <c r="D14" s="39">
        <f ca="1">BalanceSheet!D12-BalanceSheet!E12</f>
        <v>0</v>
      </c>
      <c r="E14" s="39">
        <f ca="1">BalanceSheet!E12-BalanceSheet!F12</f>
        <v>-64506339.727412939</v>
      </c>
      <c r="F14" s="39">
        <f ca="1">BalanceSheet!F12-BalanceSheet!G12</f>
        <v>64506339.727412939</v>
      </c>
      <c r="G14" s="39">
        <f ca="1">BalanceSheet!G12-BalanceSheet!H12</f>
        <v>-64506339.727412939</v>
      </c>
      <c r="H14" s="39">
        <f ca="1">BalanceSheet!H12-BalanceSheet!I12</f>
        <v>64506339.727412939</v>
      </c>
      <c r="I14" s="39">
        <f ca="1">BalanceSheet!I12-BalanceSheet!J12</f>
        <v>0</v>
      </c>
      <c r="J14" s="39">
        <f ca="1">BalanceSheet!J12-BalanceSheet!K12</f>
        <v>-193519019.18223882</v>
      </c>
      <c r="K14" s="39">
        <f ca="1">BalanceSheet!K12-BalanceSheet!L12</f>
        <v>193519019.18223882</v>
      </c>
      <c r="L14" s="39">
        <f ca="1">BalanceSheet!L12-BalanceSheet!M12</f>
        <v>-64506339.727412939</v>
      </c>
      <c r="M14" s="39">
        <f ca="1">BalanceSheet!M12-BalanceSheet!N12</f>
        <v>64506339.727412939</v>
      </c>
      <c r="N14" s="39">
        <f ca="1">BalanceSheet!N12-BalanceSheet!O12</f>
        <v>-64506339.727412939</v>
      </c>
      <c r="O14" s="39">
        <f ca="1">SUM(C14:N14)</f>
        <v>-1999696531.5497999</v>
      </c>
      <c r="P14" s="39">
        <f ca="1">BalanceSheet!P12-BalanceSheet!Q12</f>
        <v>-87986647.388190746</v>
      </c>
      <c r="Q14" s="39">
        <f ca="1">BalanceSheet!Q12-BalanceSheet!R12</f>
        <v>-167014654.31503963</v>
      </c>
      <c r="R14" s="39">
        <f ca="1">BalanceSheet!R12-BalanceSheet!S12</f>
        <v>-138391798.04104853</v>
      </c>
      <c r="S14" s="39">
        <f ca="1">BalanceSheet!S12-BalanceSheet!T12</f>
        <v>-191447170.50352669</v>
      </c>
    </row>
    <row r="15" spans="1:19" s="11" customFormat="1" ht="16.149999999999999" customHeight="1" x14ac:dyDescent="0.3">
      <c r="A15" s="124" t="s">
        <v>106</v>
      </c>
      <c r="B15" s="43" t="s">
        <v>107</v>
      </c>
      <c r="C15" s="39">
        <f ca="1">BalanceSheet!C13-BalanceSheet!D13</f>
        <v>-3171561703.2644672</v>
      </c>
      <c r="D15" s="39">
        <f ca="1">BalanceSheet!D13-BalanceSheet!E13</f>
        <v>0</v>
      </c>
      <c r="E15" s="39">
        <f ca="1">BalanceSheet!E13-BalanceSheet!F13</f>
        <v>-105718723.44214916</v>
      </c>
      <c r="F15" s="39">
        <f ca="1">BalanceSheet!F13-BalanceSheet!G13</f>
        <v>105718723.44214916</v>
      </c>
      <c r="G15" s="39">
        <f ca="1">BalanceSheet!G13-BalanceSheet!H13</f>
        <v>-105718723.44214916</v>
      </c>
      <c r="H15" s="39">
        <f ca="1">BalanceSheet!H13-BalanceSheet!I13</f>
        <v>105718723.44214916</v>
      </c>
      <c r="I15" s="39">
        <f ca="1">BalanceSheet!I13-BalanceSheet!J13</f>
        <v>0</v>
      </c>
      <c r="J15" s="39">
        <f ca="1">BalanceSheet!J13-BalanceSheet!K13</f>
        <v>-339810182.49262238</v>
      </c>
      <c r="K15" s="39">
        <f ca="1">BalanceSheet!K13-BalanceSheet!L13</f>
        <v>339810182.49262238</v>
      </c>
      <c r="L15" s="39">
        <f ca="1">BalanceSheet!L13-BalanceSheet!M13</f>
        <v>-105718723.44214916</v>
      </c>
      <c r="M15" s="39">
        <f ca="1">BalanceSheet!M13-BalanceSheet!N13</f>
        <v>105718723.44214916</v>
      </c>
      <c r="N15" s="39">
        <f ca="1">BalanceSheet!N13-BalanceSheet!O13</f>
        <v>-105718723.44214916</v>
      </c>
      <c r="O15" s="39">
        <f ca="1">SUM(C15:N15)</f>
        <v>-3277280426.7066164</v>
      </c>
      <c r="P15" s="39">
        <f ca="1">BalanceSheet!P13-BalanceSheet!Q13</f>
        <v>-262182434.13652897</v>
      </c>
      <c r="Q15" s="39">
        <f ca="1">BalanceSheet!Q13-BalanceSheet!R13</f>
        <v>-283157028.86745119</v>
      </c>
      <c r="R15" s="39">
        <f ca="1">BalanceSheet!R13-BalanceSheet!S13</f>
        <v>-305809591.17684746</v>
      </c>
      <c r="S15" s="39">
        <f ca="1">BalanceSheet!S13-BalanceSheet!T13</f>
        <v>-330274358.47099638</v>
      </c>
    </row>
    <row r="16" spans="1:19" s="11" customFormat="1" ht="16.149999999999999" customHeight="1" x14ac:dyDescent="0.3">
      <c r="A16" s="133" t="s">
        <v>103</v>
      </c>
      <c r="B16" s="43" t="s">
        <v>104</v>
      </c>
      <c r="C16" s="39">
        <v>0</v>
      </c>
      <c r="D16" s="159">
        <v>0</v>
      </c>
      <c r="E16" s="159">
        <v>0</v>
      </c>
      <c r="F16" s="159">
        <v>0</v>
      </c>
      <c r="G16" s="159">
        <v>0</v>
      </c>
      <c r="H16" s="159">
        <v>0</v>
      </c>
      <c r="I16" s="159">
        <v>0</v>
      </c>
      <c r="J16" s="159">
        <v>0</v>
      </c>
      <c r="K16" s="159">
        <v>0</v>
      </c>
      <c r="L16" s="159">
        <v>0</v>
      </c>
      <c r="M16" s="159">
        <v>0</v>
      </c>
      <c r="N16" s="159">
        <v>0</v>
      </c>
      <c r="O16" s="39">
        <f t="shared" ref="O16:O21" si="3">SUM(C16:N16)</f>
        <v>0</v>
      </c>
      <c r="P16" s="39">
        <f>Assumptions!D35</f>
        <v>0</v>
      </c>
      <c r="Q16" s="39">
        <f>Assumptions!E35</f>
        <v>0</v>
      </c>
      <c r="R16" s="39">
        <f>Assumptions!F35</f>
        <v>0</v>
      </c>
      <c r="S16" s="39">
        <f>Assumptions!G35</f>
        <v>0</v>
      </c>
    </row>
    <row r="17" spans="1:19" s="11" customFormat="1" ht="16.149999999999999" customHeight="1" x14ac:dyDescent="0.3">
      <c r="A17" s="133" t="s">
        <v>108</v>
      </c>
      <c r="B17" s="43" t="s">
        <v>109</v>
      </c>
      <c r="C17" s="39">
        <v>0</v>
      </c>
      <c r="D17" s="159">
        <v>0</v>
      </c>
      <c r="E17" s="159">
        <v>0</v>
      </c>
      <c r="F17" s="159">
        <v>0</v>
      </c>
      <c r="G17" s="159">
        <v>0</v>
      </c>
      <c r="H17" s="159">
        <v>0</v>
      </c>
      <c r="I17" s="159">
        <v>0</v>
      </c>
      <c r="J17" s="159">
        <v>0</v>
      </c>
      <c r="K17" s="159">
        <v>0</v>
      </c>
      <c r="L17" s="159">
        <v>0</v>
      </c>
      <c r="M17" s="159">
        <v>0</v>
      </c>
      <c r="N17" s="159">
        <v>0</v>
      </c>
      <c r="O17" s="39">
        <f t="shared" si="3"/>
        <v>0</v>
      </c>
      <c r="P17" s="39">
        <f>Assumptions!D36</f>
        <v>0</v>
      </c>
      <c r="Q17" s="39">
        <f>Assumptions!E36</f>
        <v>0</v>
      </c>
      <c r="R17" s="39">
        <f>Assumptions!F36</f>
        <v>0</v>
      </c>
      <c r="S17" s="39">
        <f>Assumptions!G36</f>
        <v>0</v>
      </c>
    </row>
    <row r="18" spans="1:19" s="11" customFormat="1" ht="16.149999999999999" customHeight="1" x14ac:dyDescent="0.3">
      <c r="A18" s="124" t="s">
        <v>126</v>
      </c>
      <c r="B18" s="43" t="s">
        <v>127</v>
      </c>
      <c r="C18" s="39">
        <f ca="1">BalanceSheet!D33-BalanceSheet!C33</f>
        <v>1146786729.3042405</v>
      </c>
      <c r="D18" s="39">
        <f ca="1">BalanceSheet!E33-BalanceSheet!D33</f>
        <v>0</v>
      </c>
      <c r="E18" s="39">
        <f ca="1">BalanceSheet!F33-BalanceSheet!E33</f>
        <v>38226224.310141325</v>
      </c>
      <c r="F18" s="39">
        <f ca="1">BalanceSheet!G33-BalanceSheet!F33</f>
        <v>-38226224.310141325</v>
      </c>
      <c r="G18" s="39">
        <f ca="1">BalanceSheet!H33-BalanceSheet!G33</f>
        <v>38226224.310141325</v>
      </c>
      <c r="H18" s="39">
        <f ca="1">BalanceSheet!I33-BalanceSheet!H33</f>
        <v>-38226224.310141325</v>
      </c>
      <c r="I18" s="39">
        <f ca="1">BalanceSheet!J33-BalanceSheet!I33</f>
        <v>0</v>
      </c>
      <c r="J18" s="39">
        <f ca="1">BalanceSheet!K33-BalanceSheet!J33</f>
        <v>122870006.71116877</v>
      </c>
      <c r="K18" s="39">
        <f ca="1">BalanceSheet!L33-BalanceSheet!K33</f>
        <v>-122870006.71116877</v>
      </c>
      <c r="L18" s="39">
        <f ca="1">BalanceSheet!M33-BalanceSheet!L33</f>
        <v>38226224.310141325</v>
      </c>
      <c r="M18" s="39">
        <f ca="1">BalanceSheet!N33-BalanceSheet!M33</f>
        <v>-38226224.310141325</v>
      </c>
      <c r="N18" s="39">
        <f ca="1">BalanceSheet!O33-BalanceSheet!N33</f>
        <v>38226224.310141325</v>
      </c>
      <c r="O18" s="39">
        <f t="shared" ca="1" si="3"/>
        <v>1185012953.6143818</v>
      </c>
      <c r="P18" s="39">
        <f ca="1">BalanceSheet!Q33-BalanceSheet!P33</f>
        <v>52223641.959033251</v>
      </c>
      <c r="Q18" s="39">
        <f ca="1">BalanceSheet!R33-BalanceSheet!Q33</f>
        <v>98868857.245873213</v>
      </c>
      <c r="R18" s="39">
        <f ca="1">BalanceSheet!S33-BalanceSheet!R33</f>
        <v>82001184.716218472</v>
      </c>
      <c r="S18" s="39">
        <f ca="1">BalanceSheet!T33-BalanceSheet!S33</f>
        <v>113324855.90140057</v>
      </c>
    </row>
    <row r="19" spans="1:19" s="11" customFormat="1" ht="16.149999999999999" customHeight="1" x14ac:dyDescent="0.3">
      <c r="A19" s="124" t="s">
        <v>128</v>
      </c>
      <c r="B19" s="43" t="s">
        <v>129</v>
      </c>
      <c r="C19" s="39">
        <f ca="1">BalanceSheet!D34-BalanceSheet!C34</f>
        <v>238379583.78597599</v>
      </c>
      <c r="D19" s="39">
        <f ca="1">BalanceSheet!E34-BalanceSheet!D34</f>
        <v>0</v>
      </c>
      <c r="E19" s="39">
        <f ca="1">BalanceSheet!F34-BalanceSheet!E34</f>
        <v>0</v>
      </c>
      <c r="F19" s="39">
        <f ca="1">BalanceSheet!G34-BalanceSheet!F34</f>
        <v>0</v>
      </c>
      <c r="G19" s="39">
        <f ca="1">BalanceSheet!H34-BalanceSheet!G34</f>
        <v>0</v>
      </c>
      <c r="H19" s="39">
        <f ca="1">BalanceSheet!I34-BalanceSheet!H34</f>
        <v>0</v>
      </c>
      <c r="I19" s="39">
        <f ca="1">BalanceSheet!J34-BalanceSheet!I34</f>
        <v>0</v>
      </c>
      <c r="J19" s="39">
        <f ca="1">BalanceSheet!K34-BalanceSheet!J34</f>
        <v>0</v>
      </c>
      <c r="K19" s="39">
        <f ca="1">BalanceSheet!L34-BalanceSheet!K34</f>
        <v>0</v>
      </c>
      <c r="L19" s="39">
        <f ca="1">BalanceSheet!M34-BalanceSheet!L34</f>
        <v>0</v>
      </c>
      <c r="M19" s="39">
        <f ca="1">BalanceSheet!N34-BalanceSheet!M34</f>
        <v>0</v>
      </c>
      <c r="N19" s="39">
        <f ca="1">BalanceSheet!O34-BalanceSheet!N34</f>
        <v>0</v>
      </c>
      <c r="O19" s="39">
        <f t="shared" ca="1" si="3"/>
        <v>238379583.78597599</v>
      </c>
      <c r="P19" s="39">
        <f ca="1">BalanceSheet!Q34-BalanceSheet!P34</f>
        <v>32060080.22732079</v>
      </c>
      <c r="Q19" s="39">
        <f ca="1">BalanceSheet!R34-BalanceSheet!Q34</f>
        <v>21668753.921063781</v>
      </c>
      <c r="R19" s="39">
        <f ca="1">BalanceSheet!S34-BalanceSheet!R34</f>
        <v>30961394.234203935</v>
      </c>
      <c r="S19" s="39">
        <f ca="1">BalanceSheet!T34-BalanceSheet!S34</f>
        <v>25883316.360365033</v>
      </c>
    </row>
    <row r="20" spans="1:19" s="11" customFormat="1" ht="16.149999999999999" customHeight="1" x14ac:dyDescent="0.3">
      <c r="A20" s="124" t="s">
        <v>130</v>
      </c>
      <c r="B20" s="43" t="s">
        <v>131</v>
      </c>
      <c r="C20" s="39">
        <f ca="1">BalanceSheet!D35-BalanceSheet!C35</f>
        <v>26977183.766399998</v>
      </c>
      <c r="D20" s="39">
        <f ca="1">BalanceSheet!E35-BalanceSheet!D35</f>
        <v>0</v>
      </c>
      <c r="E20" s="39">
        <f ca="1">BalanceSheet!F35-BalanceSheet!E35</f>
        <v>0</v>
      </c>
      <c r="F20" s="39">
        <f ca="1">BalanceSheet!G35-BalanceSheet!F35</f>
        <v>0</v>
      </c>
      <c r="G20" s="39">
        <f ca="1">BalanceSheet!H35-BalanceSheet!G35</f>
        <v>0</v>
      </c>
      <c r="H20" s="39">
        <f ca="1">BalanceSheet!I35-BalanceSheet!H35</f>
        <v>0</v>
      </c>
      <c r="I20" s="39">
        <f ca="1">BalanceSheet!J35-BalanceSheet!I35</f>
        <v>0</v>
      </c>
      <c r="J20" s="39">
        <f ca="1">BalanceSheet!K35-BalanceSheet!J35</f>
        <v>0</v>
      </c>
      <c r="K20" s="39">
        <f ca="1">BalanceSheet!L35-BalanceSheet!K35</f>
        <v>0</v>
      </c>
      <c r="L20" s="39">
        <f ca="1">BalanceSheet!M35-BalanceSheet!L35</f>
        <v>0</v>
      </c>
      <c r="M20" s="39">
        <f ca="1">BalanceSheet!N35-BalanceSheet!M35</f>
        <v>0</v>
      </c>
      <c r="N20" s="39">
        <f ca="1">BalanceSheet!O35-BalanceSheet!N35</f>
        <v>0</v>
      </c>
      <c r="O20" s="39">
        <f t="shared" ca="1" si="3"/>
        <v>26977183.766399998</v>
      </c>
      <c r="P20" s="39">
        <f ca="1">BalanceSheet!Q35-BalanceSheet!P35</f>
        <v>1618631.0259840004</v>
      </c>
      <c r="Q20" s="39">
        <f ca="1">BalanceSheet!R35-BalanceSheet!Q35</f>
        <v>1715748.8875430413</v>
      </c>
      <c r="R20" s="39">
        <f ca="1">BalanceSheet!S35-BalanceSheet!R35</f>
        <v>1818693.8207956254</v>
      </c>
      <c r="S20" s="39">
        <f ca="1">BalanceSheet!T35-BalanceSheet!S35</f>
        <v>1927815.4500433616</v>
      </c>
    </row>
    <row r="21" spans="1:19" s="11" customFormat="1" ht="16.149999999999999" customHeight="1" x14ac:dyDescent="0.3">
      <c r="A21" s="123" t="s">
        <v>132</v>
      </c>
      <c r="B21" s="43" t="s">
        <v>143</v>
      </c>
      <c r="C21" s="159">
        <v>0</v>
      </c>
      <c r="D21" s="159">
        <v>0</v>
      </c>
      <c r="E21" s="159">
        <v>0</v>
      </c>
      <c r="F21" s="159">
        <v>0</v>
      </c>
      <c r="G21" s="159">
        <v>0</v>
      </c>
      <c r="H21" s="159">
        <v>0</v>
      </c>
      <c r="I21" s="159">
        <v>0</v>
      </c>
      <c r="J21" s="159">
        <v>0</v>
      </c>
      <c r="K21" s="159">
        <v>0</v>
      </c>
      <c r="L21" s="159">
        <v>0</v>
      </c>
      <c r="M21" s="159">
        <v>0</v>
      </c>
      <c r="N21" s="159">
        <v>0</v>
      </c>
      <c r="O21" s="159">
        <f>SUM(C21:N21)</f>
        <v>0</v>
      </c>
      <c r="P21" s="159">
        <v>0</v>
      </c>
      <c r="Q21" s="159">
        <v>0</v>
      </c>
      <c r="R21" s="159">
        <v>0</v>
      </c>
      <c r="S21" s="159">
        <v>0</v>
      </c>
    </row>
    <row r="22" spans="1:19" s="11" customFormat="1" ht="16.149999999999999" customHeight="1" x14ac:dyDescent="0.3">
      <c r="A22" s="123" t="s">
        <v>136</v>
      </c>
      <c r="B22" s="43" t="s">
        <v>137</v>
      </c>
      <c r="C22" s="70">
        <v>0</v>
      </c>
      <c r="D22" s="70">
        <v>0</v>
      </c>
      <c r="E22" s="70">
        <v>0</v>
      </c>
      <c r="F22" s="70">
        <v>0</v>
      </c>
      <c r="G22" s="70">
        <v>0</v>
      </c>
      <c r="H22" s="70">
        <v>0</v>
      </c>
      <c r="I22" s="70">
        <v>0</v>
      </c>
      <c r="J22" s="70">
        <v>0</v>
      </c>
      <c r="K22" s="70">
        <v>0</v>
      </c>
      <c r="L22" s="70">
        <v>0</v>
      </c>
      <c r="M22" s="70">
        <v>0</v>
      </c>
      <c r="N22" s="70">
        <v>0</v>
      </c>
      <c r="O22" s="70">
        <f>SUM(C22:N22)</f>
        <v>0</v>
      </c>
      <c r="P22" s="70">
        <v>0</v>
      </c>
      <c r="Q22" s="70">
        <v>0</v>
      </c>
      <c r="R22" s="70">
        <v>0</v>
      </c>
      <c r="S22" s="70">
        <v>0</v>
      </c>
    </row>
    <row r="23" spans="1:19" s="72" customFormat="1" ht="16.149999999999999" customHeight="1" x14ac:dyDescent="0.25">
      <c r="A23" s="134"/>
      <c r="B23" s="6" t="s">
        <v>73</v>
      </c>
      <c r="C23" s="71">
        <f ca="1">SUM(C6:C22)</f>
        <v>-2505163296.0290375</v>
      </c>
      <c r="D23" s="71">
        <f t="shared" ref="D23:S23" ca="1" si="4">SUM(D6:D22)</f>
        <v>1189445102.2012002</v>
      </c>
      <c r="E23" s="71">
        <f t="shared" ca="1" si="4"/>
        <v>1057446263.3417792</v>
      </c>
      <c r="F23" s="71">
        <f t="shared" ca="1" si="4"/>
        <v>1321443941.060621</v>
      </c>
      <c r="G23" s="71">
        <f t="shared" ca="1" si="4"/>
        <v>1057446263.3417792</v>
      </c>
      <c r="H23" s="71">
        <f t="shared" ca="1" si="4"/>
        <v>1321443941.060621</v>
      </c>
      <c r="I23" s="71">
        <f t="shared" ca="1" si="4"/>
        <v>1189445102.2012005</v>
      </c>
      <c r="J23" s="71">
        <f t="shared" ca="1" si="4"/>
        <v>778985907.23750782</v>
      </c>
      <c r="K23" s="71">
        <f t="shared" ca="1" si="4"/>
        <v>1599904297.1648929</v>
      </c>
      <c r="L23" s="71">
        <f t="shared" ca="1" si="4"/>
        <v>1057446263.3417795</v>
      </c>
      <c r="M23" s="71">
        <f t="shared" ca="1" si="4"/>
        <v>1321443941.060621</v>
      </c>
      <c r="N23" s="71">
        <f t="shared" ca="1" si="4"/>
        <v>1057446263.3417795</v>
      </c>
      <c r="O23" s="71">
        <f t="shared" ca="1" si="4"/>
        <v>10446733989.324743</v>
      </c>
      <c r="P23" s="71">
        <f t="shared" ca="1" si="4"/>
        <v>16049295318.364367</v>
      </c>
      <c r="Q23" s="71">
        <f t="shared" ca="1" si="4"/>
        <v>17327282385.033733</v>
      </c>
      <c r="R23" s="71">
        <f t="shared" ca="1" si="4"/>
        <v>19280751911.414253</v>
      </c>
      <c r="S23" s="71">
        <f t="shared" ca="1" si="4"/>
        <v>20839471983.619965</v>
      </c>
    </row>
    <row r="24" spans="1:19" s="11" customFormat="1" ht="16.149999999999999" customHeight="1" x14ac:dyDescent="0.3">
      <c r="A24" s="124" t="s">
        <v>168</v>
      </c>
      <c r="B24" s="5" t="s">
        <v>74</v>
      </c>
      <c r="C24" s="39">
        <f ca="1">-C7</f>
        <v>-71978079.959999993</v>
      </c>
      <c r="D24" s="39">
        <f t="shared" ref="D24:S24" ca="1" si="5">-D7</f>
        <v>-71096748.125470102</v>
      </c>
      <c r="E24" s="39">
        <f t="shared" ca="1" si="5"/>
        <v>-70206602.972594902</v>
      </c>
      <c r="F24" s="39">
        <f t="shared" ca="1" si="5"/>
        <v>-69307556.368190959</v>
      </c>
      <c r="G24" s="39">
        <f t="shared" ca="1" si="5"/>
        <v>-68399519.297742978</v>
      </c>
      <c r="H24" s="39">
        <f t="shared" ca="1" si="5"/>
        <v>-67482401.856590509</v>
      </c>
      <c r="I24" s="39">
        <f t="shared" ca="1" si="5"/>
        <v>-66556113.241026513</v>
      </c>
      <c r="J24" s="39">
        <f t="shared" ca="1" si="5"/>
        <v>-65620561.739306889</v>
      </c>
      <c r="K24" s="39">
        <f t="shared" ca="1" si="5"/>
        <v>-64675654.722570054</v>
      </c>
      <c r="L24" s="39">
        <f t="shared" ca="1" si="5"/>
        <v>-63721298.635665864</v>
      </c>
      <c r="M24" s="39">
        <f t="shared" ca="1" si="5"/>
        <v>-62757398.987892628</v>
      </c>
      <c r="N24" s="39">
        <f t="shared" ca="1" si="5"/>
        <v>-61783860.343641646</v>
      </c>
      <c r="O24" s="39">
        <f ca="1">SUM(C24:N24)</f>
        <v>-803585796.25069308</v>
      </c>
      <c r="P24" s="39">
        <f t="shared" ca="1" si="5"/>
        <v>-661827199.39196813</v>
      </c>
      <c r="Q24" s="39">
        <f t="shared" ca="1" si="5"/>
        <v>-502090064.21516985</v>
      </c>
      <c r="R24" s="39">
        <f t="shared" ca="1" si="5"/>
        <v>-322094262.05637944</v>
      </c>
      <c r="S24" s="39">
        <f t="shared" ca="1" si="5"/>
        <v>-119270486.86517243</v>
      </c>
    </row>
    <row r="25" spans="1:19" s="11" customFormat="1" ht="16.149999999999999" customHeight="1" x14ac:dyDescent="0.3">
      <c r="A25" s="124" t="s">
        <v>134</v>
      </c>
      <c r="B25" s="5" t="s">
        <v>75</v>
      </c>
      <c r="C25" s="39">
        <f ca="1">BalanceSheet!D37-BalanceSheet!C37-C8</f>
        <v>0</v>
      </c>
      <c r="D25" s="39">
        <f ca="1">BalanceSheet!E37-BalanceSheet!D37-D8</f>
        <v>0</v>
      </c>
      <c r="E25" s="39">
        <f ca="1">BalanceSheet!F37-BalanceSheet!E37-E8</f>
        <v>0</v>
      </c>
      <c r="F25" s="39">
        <f ca="1">BalanceSheet!G37-BalanceSheet!F37-F8</f>
        <v>0</v>
      </c>
      <c r="G25" s="39">
        <f ca="1">BalanceSheet!H37-BalanceSheet!G37-G8</f>
        <v>0</v>
      </c>
      <c r="H25" s="39">
        <f ca="1">BalanceSheet!I37-BalanceSheet!H37-H8</f>
        <v>-2015459911.3879833</v>
      </c>
      <c r="I25" s="39">
        <f ca="1">BalanceSheet!J37-BalanceSheet!I37-I8</f>
        <v>0</v>
      </c>
      <c r="J25" s="39">
        <f ca="1">BalanceSheet!K37-BalanceSheet!J37-J8</f>
        <v>0</v>
      </c>
      <c r="K25" s="39">
        <f ca="1">BalanceSheet!L37-BalanceSheet!K37-K8</f>
        <v>0</v>
      </c>
      <c r="L25" s="39">
        <f ca="1">BalanceSheet!M37-BalanceSheet!L37-L8</f>
        <v>0</v>
      </c>
      <c r="M25" s="39">
        <f ca="1">BalanceSheet!N37-BalanceSheet!M37-M8</f>
        <v>0</v>
      </c>
      <c r="N25" s="39">
        <f ca="1">BalanceSheet!O37-BalanceSheet!N37-N8</f>
        <v>0</v>
      </c>
      <c r="O25" s="39">
        <f ca="1">SUM(C25:N25)</f>
        <v>-2015459911.3879833</v>
      </c>
      <c r="P25" s="39">
        <f ca="1">BalanceSheet!Q37-BalanceSheet!P37-P8</f>
        <v>-4246846413.5038462</v>
      </c>
      <c r="Q25" s="39">
        <f ca="1">BalanceSheet!R37-BalanceSheet!Q37-Q8</f>
        <v>-4836473136.1847038</v>
      </c>
      <c r="R25" s="39">
        <f ca="1">BalanceSheet!S37-BalanceSheet!R37-R8</f>
        <v>-5381924573.9626694</v>
      </c>
      <c r="S25" s="39">
        <f ca="1">BalanceSheet!T37-BalanceSheet!S37-S8</f>
        <v>-5974076033.073308</v>
      </c>
    </row>
    <row r="26" spans="1:19" s="72" customFormat="1" ht="16.149999999999999" customHeight="1" thickBot="1" x14ac:dyDescent="0.3">
      <c r="A26" s="134"/>
      <c r="B26" s="6" t="s">
        <v>76</v>
      </c>
      <c r="C26" s="73">
        <f ca="1">SUM(C23:C25)</f>
        <v>-2577141375.9890375</v>
      </c>
      <c r="D26" s="73">
        <f t="shared" ref="D26:S26" ca="1" si="6">SUM(D23:D25)</f>
        <v>1118348354.0757301</v>
      </c>
      <c r="E26" s="73">
        <f t="shared" ca="1" si="6"/>
        <v>987239660.36918437</v>
      </c>
      <c r="F26" s="73">
        <f t="shared" ca="1" si="6"/>
        <v>1252136384.69243</v>
      </c>
      <c r="G26" s="73">
        <f t="shared" ca="1" si="6"/>
        <v>989046744.04403627</v>
      </c>
      <c r="H26" s="73">
        <f t="shared" ca="1" si="6"/>
        <v>-761498372.18395281</v>
      </c>
      <c r="I26" s="73">
        <f t="shared" ca="1" si="6"/>
        <v>1122888988.9601741</v>
      </c>
      <c r="J26" s="73">
        <f t="shared" ca="1" si="6"/>
        <v>713365345.49820089</v>
      </c>
      <c r="K26" s="73">
        <f t="shared" ca="1" si="6"/>
        <v>1535228642.442323</v>
      </c>
      <c r="L26" s="73">
        <f t="shared" ca="1" si="6"/>
        <v>993724964.70611358</v>
      </c>
      <c r="M26" s="73">
        <f t="shared" ca="1" si="6"/>
        <v>1258686542.0727284</v>
      </c>
      <c r="N26" s="73">
        <f t="shared" ca="1" si="6"/>
        <v>995662402.99813783</v>
      </c>
      <c r="O26" s="73">
        <f t="shared" ca="1" si="6"/>
        <v>7627688281.6860676</v>
      </c>
      <c r="P26" s="73">
        <f t="shared" ca="1" si="6"/>
        <v>11140621705.468552</v>
      </c>
      <c r="Q26" s="73">
        <f t="shared" ca="1" si="6"/>
        <v>11988719184.63386</v>
      </c>
      <c r="R26" s="73">
        <f t="shared" ca="1" si="6"/>
        <v>13576733075.395203</v>
      </c>
      <c r="S26" s="73">
        <f t="shared" ca="1" si="6"/>
        <v>14746125463.681484</v>
      </c>
    </row>
    <row r="27" spans="1:19" s="3" customFormat="1" ht="16.149999999999999" customHeight="1" x14ac:dyDescent="0.25">
      <c r="A27" s="130"/>
      <c r="B27" s="2" t="s">
        <v>77</v>
      </c>
      <c r="C27" s="40"/>
      <c r="D27" s="40"/>
      <c r="E27" s="40"/>
      <c r="F27" s="40"/>
      <c r="G27" s="40"/>
      <c r="H27" s="40"/>
      <c r="I27" s="40"/>
      <c r="J27" s="40"/>
      <c r="K27" s="40"/>
      <c r="L27" s="40"/>
      <c r="M27" s="40"/>
      <c r="N27" s="40"/>
      <c r="O27" s="40"/>
      <c r="P27" s="40"/>
      <c r="Q27" s="40"/>
      <c r="R27" s="40"/>
      <c r="S27" s="40"/>
    </row>
    <row r="28" spans="1:19" s="11" customFormat="1" ht="16.149999999999999" customHeight="1" x14ac:dyDescent="0.3">
      <c r="A28" s="133" t="s">
        <v>98</v>
      </c>
      <c r="B28" s="43" t="s">
        <v>78</v>
      </c>
      <c r="C28" s="39">
        <v>357563750</v>
      </c>
      <c r="D28" s="159">
        <v>357563750</v>
      </c>
      <c r="E28" s="159">
        <v>357563750</v>
      </c>
      <c r="F28" s="159">
        <v>357563750</v>
      </c>
      <c r="G28" s="159">
        <v>357563750</v>
      </c>
      <c r="H28" s="159">
        <v>357563750</v>
      </c>
      <c r="I28" s="159">
        <v>357563750</v>
      </c>
      <c r="J28" s="159">
        <v>357563750</v>
      </c>
      <c r="K28" s="159">
        <v>357563750</v>
      </c>
      <c r="L28" s="159">
        <v>357563750</v>
      </c>
      <c r="M28" s="159">
        <v>357563750</v>
      </c>
      <c r="N28" s="159">
        <v>357563750</v>
      </c>
      <c r="O28" s="159">
        <f>SUM(C28:N28)</f>
        <v>4290765000</v>
      </c>
      <c r="P28" s="159">
        <f>Assumptions!D39</f>
        <v>0</v>
      </c>
      <c r="Q28" s="159">
        <f>Assumptions!E39</f>
        <v>0</v>
      </c>
      <c r="R28" s="159">
        <f>Assumptions!F39</f>
        <v>0</v>
      </c>
      <c r="S28" s="159">
        <f>Assumptions!G39</f>
        <v>0</v>
      </c>
    </row>
    <row r="29" spans="1:19" s="11" customFormat="1" ht="16.149999999999999" customHeight="1" x14ac:dyDescent="0.3">
      <c r="A29" s="133" t="s">
        <v>99</v>
      </c>
      <c r="B29" s="43" t="s">
        <v>199</v>
      </c>
      <c r="C29" s="39">
        <v>0</v>
      </c>
      <c r="D29" s="159">
        <v>0</v>
      </c>
      <c r="E29" s="159">
        <v>0</v>
      </c>
      <c r="F29" s="159">
        <v>0</v>
      </c>
      <c r="G29" s="159">
        <v>0</v>
      </c>
      <c r="H29" s="159">
        <v>0</v>
      </c>
      <c r="I29" s="159">
        <v>0</v>
      </c>
      <c r="J29" s="159">
        <v>0</v>
      </c>
      <c r="K29" s="159">
        <v>0</v>
      </c>
      <c r="L29" s="159">
        <v>0</v>
      </c>
      <c r="M29" s="159">
        <v>0</v>
      </c>
      <c r="N29" s="159">
        <v>0</v>
      </c>
      <c r="O29" s="159">
        <f t="shared" ref="O29:O30" si="7">SUM(C29:N29)</f>
        <v>0</v>
      </c>
      <c r="P29" s="159">
        <f>Assumptions!D40</f>
        <v>0</v>
      </c>
      <c r="Q29" s="159">
        <f>Assumptions!E40</f>
        <v>0</v>
      </c>
      <c r="R29" s="159">
        <f>Assumptions!F40</f>
        <v>0</v>
      </c>
      <c r="S29" s="159">
        <f>Assumptions!G40</f>
        <v>0</v>
      </c>
    </row>
    <row r="30" spans="1:19" s="11" customFormat="1" ht="16.149999999999999" customHeight="1" x14ac:dyDescent="0.3">
      <c r="A30" s="133" t="s">
        <v>101</v>
      </c>
      <c r="B30" s="43" t="s">
        <v>200</v>
      </c>
      <c r="C30" s="39">
        <v>0</v>
      </c>
      <c r="D30" s="159">
        <v>0</v>
      </c>
      <c r="E30" s="159">
        <v>0</v>
      </c>
      <c r="F30" s="159">
        <v>0</v>
      </c>
      <c r="G30" s="159">
        <v>0</v>
      </c>
      <c r="H30" s="159">
        <v>0</v>
      </c>
      <c r="I30" s="159">
        <v>0</v>
      </c>
      <c r="J30" s="159">
        <v>0</v>
      </c>
      <c r="K30" s="159">
        <v>0</v>
      </c>
      <c r="L30" s="159">
        <v>0</v>
      </c>
      <c r="M30" s="159">
        <v>0</v>
      </c>
      <c r="N30" s="159">
        <v>0</v>
      </c>
      <c r="O30" s="159">
        <f t="shared" si="7"/>
        <v>0</v>
      </c>
      <c r="P30" s="159">
        <f>Assumptions!D41</f>
        <v>0</v>
      </c>
      <c r="Q30" s="159">
        <f>Assumptions!E41</f>
        <v>0</v>
      </c>
      <c r="R30" s="159">
        <f>Assumptions!F41</f>
        <v>0</v>
      </c>
      <c r="S30" s="159">
        <f>Assumptions!G41</f>
        <v>0</v>
      </c>
    </row>
    <row r="31" spans="1:19" s="72" customFormat="1" ht="16.149999999999999" customHeight="1" thickBot="1" x14ac:dyDescent="0.3">
      <c r="A31" s="134"/>
      <c r="B31" s="6" t="s">
        <v>79</v>
      </c>
      <c r="C31" s="73">
        <f>SUM(C28:C30)</f>
        <v>357563750</v>
      </c>
      <c r="D31" s="73">
        <f t="shared" ref="D31:S31" si="8">SUM(D28:D30)</f>
        <v>357563750</v>
      </c>
      <c r="E31" s="73">
        <f t="shared" si="8"/>
        <v>357563750</v>
      </c>
      <c r="F31" s="73">
        <f t="shared" si="8"/>
        <v>357563750</v>
      </c>
      <c r="G31" s="73">
        <f t="shared" si="8"/>
        <v>357563750</v>
      </c>
      <c r="H31" s="73">
        <f t="shared" si="8"/>
        <v>357563750</v>
      </c>
      <c r="I31" s="73">
        <f t="shared" si="8"/>
        <v>357563750</v>
      </c>
      <c r="J31" s="73">
        <f t="shared" si="8"/>
        <v>357563750</v>
      </c>
      <c r="K31" s="73">
        <f t="shared" si="8"/>
        <v>357563750</v>
      </c>
      <c r="L31" s="73">
        <f t="shared" si="8"/>
        <v>357563750</v>
      </c>
      <c r="M31" s="73">
        <f t="shared" si="8"/>
        <v>357563750</v>
      </c>
      <c r="N31" s="73">
        <f t="shared" si="8"/>
        <v>357563750</v>
      </c>
      <c r="O31" s="73">
        <f t="shared" si="8"/>
        <v>4290765000</v>
      </c>
      <c r="P31" s="73">
        <f t="shared" si="8"/>
        <v>0</v>
      </c>
      <c r="Q31" s="73">
        <f t="shared" si="8"/>
        <v>0</v>
      </c>
      <c r="R31" s="73">
        <f t="shared" si="8"/>
        <v>0</v>
      </c>
      <c r="S31" s="73">
        <f t="shared" si="8"/>
        <v>0</v>
      </c>
    </row>
    <row r="32" spans="1:19" s="2" customFormat="1" ht="16.149999999999999" customHeight="1" x14ac:dyDescent="0.25">
      <c r="A32" s="129"/>
      <c r="B32" s="2" t="s">
        <v>80</v>
      </c>
      <c r="C32" s="40"/>
      <c r="D32" s="40"/>
      <c r="E32" s="40"/>
      <c r="F32" s="40"/>
      <c r="G32" s="40"/>
      <c r="H32" s="40"/>
      <c r="I32" s="40"/>
      <c r="J32" s="40"/>
      <c r="K32" s="40"/>
      <c r="L32" s="40"/>
      <c r="M32" s="40"/>
      <c r="N32" s="40"/>
      <c r="O32" s="40"/>
      <c r="P32" s="40"/>
      <c r="Q32" s="40"/>
      <c r="R32" s="40"/>
      <c r="S32" s="40"/>
    </row>
    <row r="33" spans="1:19" s="11" customFormat="1" ht="16.149999999999999" customHeight="1" x14ac:dyDescent="0.3">
      <c r="A33" s="123" t="s">
        <v>112</v>
      </c>
      <c r="B33" s="43" t="s">
        <v>81</v>
      </c>
      <c r="C33" s="39">
        <v>0</v>
      </c>
      <c r="D33" s="159">
        <v>0</v>
      </c>
      <c r="E33" s="159">
        <v>0</v>
      </c>
      <c r="F33" s="159">
        <v>0</v>
      </c>
      <c r="G33" s="159">
        <v>0</v>
      </c>
      <c r="H33" s="159">
        <v>0</v>
      </c>
      <c r="I33" s="159">
        <v>0</v>
      </c>
      <c r="J33" s="159">
        <v>0</v>
      </c>
      <c r="K33" s="159">
        <v>0</v>
      </c>
      <c r="L33" s="159">
        <v>0</v>
      </c>
      <c r="M33" s="159">
        <v>0</v>
      </c>
      <c r="N33" s="159">
        <v>0</v>
      </c>
      <c r="O33" s="159">
        <f>SUM(C33:N33)</f>
        <v>0</v>
      </c>
      <c r="P33" s="159">
        <v>0</v>
      </c>
      <c r="Q33" s="159">
        <v>0</v>
      </c>
      <c r="R33" s="159">
        <v>0</v>
      </c>
      <c r="S33" s="159">
        <v>0</v>
      </c>
    </row>
    <row r="34" spans="1:19" s="11" customFormat="1" ht="16.149999999999999" customHeight="1" x14ac:dyDescent="0.3">
      <c r="A34" s="124" t="s">
        <v>240</v>
      </c>
      <c r="B34" s="43" t="s">
        <v>244</v>
      </c>
      <c r="C34" s="39">
        <f ca="1">BalanceSheet!D38-BalanceSheet!C38-IncState!C60</f>
        <v>0</v>
      </c>
      <c r="D34" s="39">
        <f ca="1">BalanceSheet!E38-BalanceSheet!D38-IncState!D60</f>
        <v>0</v>
      </c>
      <c r="E34" s="39">
        <f ca="1">BalanceSheet!F38-BalanceSheet!E38-IncState!E60</f>
        <v>0</v>
      </c>
      <c r="F34" s="39">
        <f ca="1">BalanceSheet!G38-BalanceSheet!F38-IncState!F60</f>
        <v>0</v>
      </c>
      <c r="G34" s="39">
        <f ca="1">BalanceSheet!H38-BalanceSheet!G38-IncState!G60</f>
        <v>0</v>
      </c>
      <c r="H34" s="39">
        <f ca="1">BalanceSheet!I38-BalanceSheet!H38-IncState!H60</f>
        <v>0</v>
      </c>
      <c r="I34" s="39">
        <f ca="1">BalanceSheet!J38-BalanceSheet!I38-IncState!I60</f>
        <v>0</v>
      </c>
      <c r="J34" s="39">
        <f ca="1">BalanceSheet!K38-BalanceSheet!J38-IncState!J60</f>
        <v>0</v>
      </c>
      <c r="K34" s="39">
        <f ca="1">BalanceSheet!L38-BalanceSheet!K38-IncState!K60</f>
        <v>0</v>
      </c>
      <c r="L34" s="39">
        <f ca="1">BalanceSheet!M38-BalanceSheet!L38-IncState!L60</f>
        <v>0</v>
      </c>
      <c r="M34" s="39">
        <f ca="1">BalanceSheet!N38-BalanceSheet!M38-IncState!M60</f>
        <v>0</v>
      </c>
      <c r="N34" s="39">
        <f ca="1">BalanceSheet!O38-BalanceSheet!N38-IncState!N60</f>
        <v>0</v>
      </c>
      <c r="O34" s="39">
        <f ca="1">SUM(C34:N34)</f>
        <v>0</v>
      </c>
      <c r="P34" s="39">
        <f ca="1">BalanceSheet!Q38-BalanceSheet!P38-IncState!P60</f>
        <v>-1938769741.3590639</v>
      </c>
      <c r="Q34" s="39">
        <f ca="1">BalanceSheet!R38-BalanceSheet!Q38-IncState!Q60</f>
        <v>-2259520715.6758642</v>
      </c>
      <c r="R34" s="39">
        <f ca="1">BalanceSheet!S38-BalanceSheet!R38-IncState!R60</f>
        <v>-2480222957.7851458</v>
      </c>
      <c r="S34" s="39">
        <f ca="1">BalanceSheet!T38-BalanceSheet!S38-IncState!S60</f>
        <v>-2794063124.6982694</v>
      </c>
    </row>
    <row r="35" spans="1:19" s="11" customFormat="1" ht="16.149999999999999" customHeight="1" x14ac:dyDescent="0.3">
      <c r="A35" s="124" t="s">
        <v>116</v>
      </c>
      <c r="B35" s="43" t="s">
        <v>201</v>
      </c>
      <c r="C35" s="39">
        <f ca="1">OFFSET(Loans1!$C$9,COLUMN(C$32)-COLUMN($B$32),0,1,1)</f>
        <v>0</v>
      </c>
      <c r="D35" s="39">
        <f ca="1">OFFSET(Loans1!$C$9,COLUMN(D$32)-COLUMN($B$32),0,1,1)</f>
        <v>0</v>
      </c>
      <c r="E35" s="39">
        <f ca="1">OFFSET(Loans1!$C$9,COLUMN(E$32)-COLUMN($B$32),0,1,1)</f>
        <v>0</v>
      </c>
      <c r="F35" s="39">
        <f ca="1">OFFSET(Loans1!$C$9,COLUMN(F$32)-COLUMN($B$32),0,1,1)</f>
        <v>0</v>
      </c>
      <c r="G35" s="39">
        <f ca="1">OFFSET(Loans1!$C$9,COLUMN(G$32)-COLUMN($B$32),0,1,1)</f>
        <v>0</v>
      </c>
      <c r="H35" s="39">
        <f ca="1">OFFSET(Loans1!$C$9,COLUMN(H$32)-COLUMN($B$32),0,1,1)</f>
        <v>0</v>
      </c>
      <c r="I35" s="39">
        <f ca="1">OFFSET(Loans1!$C$9,COLUMN(I$32)-COLUMN($B$32),0,1,1)</f>
        <v>0</v>
      </c>
      <c r="J35" s="39">
        <f ca="1">OFFSET(Loans1!$C$9,COLUMN(J$32)-COLUMN($B$32),0,1,1)</f>
        <v>0</v>
      </c>
      <c r="K35" s="39">
        <f ca="1">OFFSET(Loans1!$C$9,COLUMN(K$32)-COLUMN($B$32),0,1,1)</f>
        <v>0</v>
      </c>
      <c r="L35" s="39">
        <f ca="1">OFFSET(Loans1!$C$9,COLUMN(L$32)-COLUMN($B$32),0,1,1)</f>
        <v>0</v>
      </c>
      <c r="M35" s="39">
        <f ca="1">OFFSET(Loans1!$C$9,COLUMN(M$32)-COLUMN($B$32),0,1,1)</f>
        <v>0</v>
      </c>
      <c r="N35" s="39">
        <f ca="1">OFFSET(Loans1!$C$9,COLUMN(N$32)-COLUMN($B$32),0,1,1)</f>
        <v>0</v>
      </c>
      <c r="O35" s="39">
        <f ca="1">SUM(C35:N35)</f>
        <v>0</v>
      </c>
      <c r="P35" s="39">
        <f ca="1">SUM(OFFSET(Loans1!$C$10,12*(COLUMN(P$32)-COLUMN($O$32)),0,12,1))</f>
        <v>0</v>
      </c>
      <c r="Q35" s="39">
        <f ca="1">SUM(OFFSET(Loans1!$C$10,12*(COLUMN(Q$32)-COLUMN($O$32)),0,12,1))</f>
        <v>0</v>
      </c>
      <c r="R35" s="39">
        <f ca="1">SUM(OFFSET(Loans1!$C$10,12*(COLUMN(R$32)-COLUMN($O$32)),0,12,1))</f>
        <v>0</v>
      </c>
      <c r="S35" s="39">
        <f ca="1">SUM(OFFSET(Loans1!$C$10,12*(COLUMN(S$32)-COLUMN($O$32)),0,12,1))</f>
        <v>0</v>
      </c>
    </row>
    <row r="36" spans="1:19" s="11" customFormat="1" ht="16.149999999999999" customHeight="1" x14ac:dyDescent="0.3">
      <c r="A36" s="124" t="s">
        <v>118</v>
      </c>
      <c r="B36" s="43" t="s">
        <v>202</v>
      </c>
      <c r="C36" s="39">
        <f ca="1">OFFSET(Loans2!$C$9,COLUMN(C$32)-COLUMN($B$32),0,1,1)</f>
        <v>0</v>
      </c>
      <c r="D36" s="39">
        <f ca="1">OFFSET(Loans2!$C$9,COLUMN(D$32)-COLUMN($B$32),0,1,1)</f>
        <v>0</v>
      </c>
      <c r="E36" s="39">
        <f ca="1">OFFSET(Loans2!$C$9,COLUMN(E$32)-COLUMN($B$32),0,1,1)</f>
        <v>0</v>
      </c>
      <c r="F36" s="39">
        <f ca="1">OFFSET(Loans2!$C$9,COLUMN(F$32)-COLUMN($B$32),0,1,1)</f>
        <v>0</v>
      </c>
      <c r="G36" s="39">
        <f ca="1">OFFSET(Loans2!$C$9,COLUMN(G$32)-COLUMN($B$32),0,1,1)</f>
        <v>0</v>
      </c>
      <c r="H36" s="39">
        <f ca="1">OFFSET(Loans2!$C$9,COLUMN(H$32)-COLUMN($B$32),0,1,1)</f>
        <v>0</v>
      </c>
      <c r="I36" s="39">
        <f ca="1">OFFSET(Loans2!$C$9,COLUMN(I$32)-COLUMN($B$32),0,1,1)</f>
        <v>0</v>
      </c>
      <c r="J36" s="39">
        <f ca="1">OFFSET(Loans2!$C$9,COLUMN(J$32)-COLUMN($B$32),0,1,1)</f>
        <v>0</v>
      </c>
      <c r="K36" s="39">
        <f ca="1">OFFSET(Loans2!$C$9,COLUMN(K$32)-COLUMN($B$32),0,1,1)</f>
        <v>0</v>
      </c>
      <c r="L36" s="39">
        <f ca="1">OFFSET(Loans2!$C$9,COLUMN(L$32)-COLUMN($B$32),0,1,1)</f>
        <v>0</v>
      </c>
      <c r="M36" s="39">
        <f ca="1">OFFSET(Loans2!$C$9,COLUMN(M$32)-COLUMN($B$32),0,1,1)</f>
        <v>0</v>
      </c>
      <c r="N36" s="39">
        <f ca="1">OFFSET(Loans2!$C$9,COLUMN(N$32)-COLUMN($B$32),0,1,1)</f>
        <v>0</v>
      </c>
      <c r="O36" s="39">
        <f t="shared" ref="O36:O42" ca="1" si="9">SUM(C36:N36)</f>
        <v>0</v>
      </c>
      <c r="P36" s="39">
        <f ca="1">SUM(OFFSET(Loans2!$C$10,12*(COLUMN(P$32)-COLUMN($O$32)),0,12,1))</f>
        <v>0</v>
      </c>
      <c r="Q36" s="39">
        <f ca="1">SUM(OFFSET(Loans2!$C$10,12*(COLUMN(Q$32)-COLUMN($O$32)),0,12,1))</f>
        <v>0</v>
      </c>
      <c r="R36" s="39">
        <f ca="1">SUM(OFFSET(Loans2!$C$10,12*(COLUMN(R$32)-COLUMN($O$32)),0,12,1))</f>
        <v>0</v>
      </c>
      <c r="S36" s="39">
        <f ca="1">SUM(OFFSET(Loans2!$C$10,12*(COLUMN(S$32)-COLUMN($O$32)),0,12,1))</f>
        <v>0</v>
      </c>
    </row>
    <row r="37" spans="1:19" s="11" customFormat="1" ht="16.149999999999999" customHeight="1" x14ac:dyDescent="0.3">
      <c r="A37" s="124" t="s">
        <v>120</v>
      </c>
      <c r="B37" s="43" t="s">
        <v>203</v>
      </c>
      <c r="C37" s="39">
        <f ca="1">OFFSET(Loans3!$C$9,COLUMN(C$32)-COLUMN($B$32),0,1,1)</f>
        <v>0</v>
      </c>
      <c r="D37" s="39">
        <f ca="1">OFFSET(Loans3!$C$9,COLUMN(D$32)-COLUMN($B$32),0,1,1)</f>
        <v>0</v>
      </c>
      <c r="E37" s="39">
        <f ca="1">OFFSET(Loans3!$C$9,COLUMN(E$32)-COLUMN($B$32),0,1,1)</f>
        <v>0</v>
      </c>
      <c r="F37" s="39">
        <f ca="1">OFFSET(Loans3!$C$9,COLUMN(F$32)-COLUMN($B$32),0,1,1)</f>
        <v>0</v>
      </c>
      <c r="G37" s="39">
        <f ca="1">OFFSET(Loans3!$C$9,COLUMN(G$32)-COLUMN($B$32),0,1,1)</f>
        <v>0</v>
      </c>
      <c r="H37" s="39">
        <f ca="1">OFFSET(Loans3!$C$9,COLUMN(H$32)-COLUMN($B$32),0,1,1)</f>
        <v>0</v>
      </c>
      <c r="I37" s="39">
        <f ca="1">OFFSET(Loans3!$C$9,COLUMN(I$32)-COLUMN($B$32),0,1,1)</f>
        <v>0</v>
      </c>
      <c r="J37" s="39">
        <f ca="1">OFFSET(Loans3!$C$9,COLUMN(J$32)-COLUMN($B$32),0,1,1)</f>
        <v>0</v>
      </c>
      <c r="K37" s="39">
        <f ca="1">OFFSET(Loans3!$C$9,COLUMN(K$32)-COLUMN($B$32),0,1,1)</f>
        <v>0</v>
      </c>
      <c r="L37" s="39">
        <f ca="1">OFFSET(Loans3!$C$9,COLUMN(L$32)-COLUMN($B$32),0,1,1)</f>
        <v>0</v>
      </c>
      <c r="M37" s="39">
        <f ca="1">OFFSET(Loans3!$C$9,COLUMN(M$32)-COLUMN($B$32),0,1,1)</f>
        <v>0</v>
      </c>
      <c r="N37" s="39">
        <f ca="1">OFFSET(Loans3!$C$9,COLUMN(N$32)-COLUMN($B$32),0,1,1)</f>
        <v>0</v>
      </c>
      <c r="O37" s="39">
        <f t="shared" ca="1" si="9"/>
        <v>0</v>
      </c>
      <c r="P37" s="39">
        <f ca="1">SUM(OFFSET(Loans3!$C$10,12*(COLUMN(P$32)-COLUMN($O$32)),0,12,1))</f>
        <v>0</v>
      </c>
      <c r="Q37" s="39">
        <f ca="1">SUM(OFFSET(Loans3!$C$10,12*(COLUMN(Q$32)-COLUMN($O$32)),0,12,1))</f>
        <v>0</v>
      </c>
      <c r="R37" s="39">
        <f ca="1">SUM(OFFSET(Loans3!$C$10,12*(COLUMN(R$32)-COLUMN($O$32)),0,12,1))</f>
        <v>0</v>
      </c>
      <c r="S37" s="39">
        <f ca="1">SUM(OFFSET(Loans3!$C$10,12*(COLUMN(S$32)-COLUMN($O$32)),0,12,1))</f>
        <v>0</v>
      </c>
    </row>
    <row r="38" spans="1:19" s="11" customFormat="1" ht="16.149999999999999" customHeight="1" x14ac:dyDescent="0.3">
      <c r="A38" s="124" t="s">
        <v>122</v>
      </c>
      <c r="B38" s="43" t="s">
        <v>204</v>
      </c>
      <c r="C38" s="39">
        <f ca="1">OFFSET(Leases!$C$9,COLUMN(C$32)-COLUMN($B$32),0,1,1)</f>
        <v>0</v>
      </c>
      <c r="D38" s="39">
        <f ca="1">OFFSET(Leases!$C$9,COLUMN(D$32)-COLUMN($B$32),0,1,1)</f>
        <v>0</v>
      </c>
      <c r="E38" s="39">
        <f ca="1">OFFSET(Leases!$C$9,COLUMN(E$32)-COLUMN($B$32),0,1,1)</f>
        <v>0</v>
      </c>
      <c r="F38" s="39">
        <f ca="1">OFFSET(Leases!$C$9,COLUMN(F$32)-COLUMN($B$32),0,1,1)</f>
        <v>0</v>
      </c>
      <c r="G38" s="39">
        <f ca="1">OFFSET(Leases!$C$9,COLUMN(G$32)-COLUMN($B$32),0,1,1)</f>
        <v>0</v>
      </c>
      <c r="H38" s="39">
        <f ca="1">OFFSET(Leases!$C$9,COLUMN(H$32)-COLUMN($B$32),0,1,1)</f>
        <v>0</v>
      </c>
      <c r="I38" s="39">
        <f ca="1">OFFSET(Leases!$C$9,COLUMN(I$32)-COLUMN($B$32),0,1,1)</f>
        <v>0</v>
      </c>
      <c r="J38" s="39">
        <f ca="1">OFFSET(Leases!$C$9,COLUMN(J$32)-COLUMN($B$32),0,1,1)</f>
        <v>0</v>
      </c>
      <c r="K38" s="39">
        <f ca="1">OFFSET(Leases!$C$9,COLUMN(K$32)-COLUMN($B$32),0,1,1)</f>
        <v>0</v>
      </c>
      <c r="L38" s="39">
        <f ca="1">OFFSET(Leases!$C$9,COLUMN(L$32)-COLUMN($B$32),0,1,1)</f>
        <v>0</v>
      </c>
      <c r="M38" s="39">
        <f ca="1">OFFSET(Leases!$C$9,COLUMN(M$32)-COLUMN($B$32),0,1,1)</f>
        <v>0</v>
      </c>
      <c r="N38" s="39">
        <f ca="1">OFFSET(Leases!$C$9,COLUMN(N$32)-COLUMN($B$32),0,1,1)</f>
        <v>0</v>
      </c>
      <c r="O38" s="39">
        <f t="shared" ca="1" si="9"/>
        <v>0</v>
      </c>
      <c r="P38" s="39">
        <f ca="1">SUM(OFFSET(Leases!$C$10,12*(COLUMN(P$32)-COLUMN($O$32)),0,12,1))</f>
        <v>0</v>
      </c>
      <c r="Q38" s="39">
        <f ca="1">SUM(OFFSET(Leases!$C$10,12*(COLUMN(Q$32)-COLUMN($O$32)),0,12,1))</f>
        <v>0</v>
      </c>
      <c r="R38" s="39">
        <f ca="1">SUM(OFFSET(Leases!$C$10,12*(COLUMN(R$32)-COLUMN($O$32)),0,12,1))</f>
        <v>0</v>
      </c>
      <c r="S38" s="39">
        <f ca="1">SUM(OFFSET(Leases!$C$10,12*(COLUMN(S$32)-COLUMN($O$32)),0,12,1))</f>
        <v>0</v>
      </c>
    </row>
    <row r="39" spans="1:19" s="11" customFormat="1" ht="16.149999999999999" customHeight="1" x14ac:dyDescent="0.3">
      <c r="A39" s="124" t="s">
        <v>116</v>
      </c>
      <c r="B39" s="43" t="s">
        <v>205</v>
      </c>
      <c r="C39" s="39">
        <f ca="1">-OFFSET(Loans1!$F$9,COLUMN(C$32)-COLUMN($B$32),0,1,1)</f>
        <v>-88133183.452989683</v>
      </c>
      <c r="D39" s="39">
        <f ca="1">-OFFSET(Loans1!$F$9,COLUMN(D$32)-COLUMN($B$32),0,1,1)</f>
        <v>-89014515.287519574</v>
      </c>
      <c r="E39" s="39">
        <f ca="1">-OFFSET(Loans1!$F$9,COLUMN(E$32)-COLUMN($B$32),0,1,1)</f>
        <v>-89904660.440394774</v>
      </c>
      <c r="F39" s="39">
        <f ca="1">-OFFSET(Loans1!$F$9,COLUMN(F$32)-COLUMN($B$32),0,1,1)</f>
        <v>-90803707.044798717</v>
      </c>
      <c r="G39" s="39">
        <f ca="1">-OFFSET(Loans1!$F$9,COLUMN(G$32)-COLUMN($B$32),0,1,1)</f>
        <v>-91711744.115246698</v>
      </c>
      <c r="H39" s="39">
        <f ca="1">-OFFSET(Loans1!$F$9,COLUMN(H$32)-COLUMN($B$32),0,1,1)</f>
        <v>-92628861.556399167</v>
      </c>
      <c r="I39" s="39">
        <f ca="1">-OFFSET(Loans1!$F$9,COLUMN(I$32)-COLUMN($B$32),0,1,1)</f>
        <v>-93555150.171963155</v>
      </c>
      <c r="J39" s="39">
        <f ca="1">-OFFSET(Loans1!$F$9,COLUMN(J$32)-COLUMN($B$32),0,1,1)</f>
        <v>-94490701.673682779</v>
      </c>
      <c r="K39" s="39">
        <f ca="1">-OFFSET(Loans1!$F$9,COLUMN(K$32)-COLUMN($B$32),0,1,1)</f>
        <v>-95435608.690419614</v>
      </c>
      <c r="L39" s="39">
        <f ca="1">-OFFSET(Loans1!$F$9,COLUMN(L$32)-COLUMN($B$32),0,1,1)</f>
        <v>-96389964.777323812</v>
      </c>
      <c r="M39" s="39">
        <f ca="1">-OFFSET(Loans1!$F$9,COLUMN(M$32)-COLUMN($B$32),0,1,1)</f>
        <v>-97353864.425097048</v>
      </c>
      <c r="N39" s="39">
        <f ca="1">-OFFSET(Loans1!$F$9,COLUMN(N$32)-COLUMN($B$32),0,1,1)</f>
        <v>-98327403.069348037</v>
      </c>
      <c r="O39" s="39">
        <f t="shared" ca="1" si="9"/>
        <v>-1117749364.7051833</v>
      </c>
      <c r="P39" s="39">
        <f ca="1">-SUM(OFFSET(Loans1!$F$10,12*(COLUMN(P$32)-COLUMN($O$32)),0,12,1))</f>
        <v>-1259507961.5639081</v>
      </c>
      <c r="Q39" s="39">
        <f ca="1">-SUM(OFFSET(Loans1!$F$10,12*(COLUMN(Q$32)-COLUMN($O$32)),0,12,1))</f>
        <v>-1419245096.7407064</v>
      </c>
      <c r="R39" s="39">
        <f ca="1">-SUM(OFFSET(Loans1!$F$10,12*(COLUMN(R$32)-COLUMN($O$32)),0,12,1))</f>
        <v>-1599240898.8994966</v>
      </c>
      <c r="S39" s="39">
        <f ca="1">-SUM(OFFSET(Loans1!$F$10,12*(COLUMN(S$32)-COLUMN($O$32)),0,12,1))</f>
        <v>-1802064674.0907035</v>
      </c>
    </row>
    <row r="40" spans="1:19" s="11" customFormat="1" ht="16.149999999999999" customHeight="1" x14ac:dyDescent="0.3">
      <c r="A40" s="124" t="s">
        <v>118</v>
      </c>
      <c r="B40" s="43" t="s">
        <v>206</v>
      </c>
      <c r="C40" s="39">
        <f ca="1">-OFFSET(Loans2!$F$9,COLUMN(C$32)-COLUMN($B$32),0,1,1)</f>
        <v>0</v>
      </c>
      <c r="D40" s="39">
        <f ca="1">-OFFSET(Loans2!$F$9,COLUMN(D$32)-COLUMN($B$32),0,1,1)</f>
        <v>0</v>
      </c>
      <c r="E40" s="39">
        <f ca="1">-OFFSET(Loans2!$F$9,COLUMN(E$32)-COLUMN($B$32),0,1,1)</f>
        <v>0</v>
      </c>
      <c r="F40" s="39">
        <f ca="1">-OFFSET(Loans2!$F$9,COLUMN(F$32)-COLUMN($B$32),0,1,1)</f>
        <v>0</v>
      </c>
      <c r="G40" s="39">
        <f ca="1">-OFFSET(Loans2!$F$9,COLUMN(G$32)-COLUMN($B$32),0,1,1)</f>
        <v>0</v>
      </c>
      <c r="H40" s="39">
        <f ca="1">-OFFSET(Loans2!$F$9,COLUMN(H$32)-COLUMN($B$32),0,1,1)</f>
        <v>0</v>
      </c>
      <c r="I40" s="39">
        <f ca="1">-OFFSET(Loans2!$F$9,COLUMN(I$32)-COLUMN($B$32),0,1,1)</f>
        <v>0</v>
      </c>
      <c r="J40" s="39">
        <f ca="1">-OFFSET(Loans2!$F$9,COLUMN(J$32)-COLUMN($B$32),0,1,1)</f>
        <v>0</v>
      </c>
      <c r="K40" s="39">
        <f ca="1">-OFFSET(Loans2!$F$9,COLUMN(K$32)-COLUMN($B$32),0,1,1)</f>
        <v>0</v>
      </c>
      <c r="L40" s="39">
        <f ca="1">-OFFSET(Loans2!$F$9,COLUMN(L$32)-COLUMN($B$32),0,1,1)</f>
        <v>0</v>
      </c>
      <c r="M40" s="39">
        <f ca="1">-OFFSET(Loans2!$F$9,COLUMN(M$32)-COLUMN($B$32),0,1,1)</f>
        <v>0</v>
      </c>
      <c r="N40" s="39">
        <f ca="1">-OFFSET(Loans2!$F$9,COLUMN(N$32)-COLUMN($B$32),0,1,1)</f>
        <v>0</v>
      </c>
      <c r="O40" s="39">
        <f t="shared" ca="1" si="9"/>
        <v>0</v>
      </c>
      <c r="P40" s="39">
        <f ca="1">-SUM(OFFSET(Loans2!$F$10,12*(COLUMN(P$32)-COLUMN($O$32)),0,12,1))</f>
        <v>0</v>
      </c>
      <c r="Q40" s="39">
        <f ca="1">-SUM(OFFSET(Loans2!$F$10,12*(COLUMN(Q$32)-COLUMN($O$32)),0,12,1))</f>
        <v>0</v>
      </c>
      <c r="R40" s="39">
        <f ca="1">-SUM(OFFSET(Loans2!$F$10,12*(COLUMN(R$32)-COLUMN($O$32)),0,12,1))</f>
        <v>0</v>
      </c>
      <c r="S40" s="39">
        <f ca="1">-SUM(OFFSET(Loans2!$F$10,12*(COLUMN(S$32)-COLUMN($O$32)),0,12,1))</f>
        <v>0</v>
      </c>
    </row>
    <row r="41" spans="1:19" s="11" customFormat="1" ht="16.149999999999999" customHeight="1" x14ac:dyDescent="0.3">
      <c r="A41" s="124" t="s">
        <v>120</v>
      </c>
      <c r="B41" s="43" t="s">
        <v>207</v>
      </c>
      <c r="C41" s="39">
        <f ca="1">-OFFSET(Loans3!$F$9,COLUMN(C$32)-COLUMN($B$32),0,1,1)</f>
        <v>0</v>
      </c>
      <c r="D41" s="39">
        <f ca="1">-OFFSET(Loans3!$F$9,COLUMN(D$32)-COLUMN($B$32),0,1,1)</f>
        <v>0</v>
      </c>
      <c r="E41" s="39">
        <f ca="1">-OFFSET(Loans3!$F$9,COLUMN(E$32)-COLUMN($B$32),0,1,1)</f>
        <v>0</v>
      </c>
      <c r="F41" s="39">
        <f ca="1">-OFFSET(Loans3!$F$9,COLUMN(F$32)-COLUMN($B$32),0,1,1)</f>
        <v>0</v>
      </c>
      <c r="G41" s="39">
        <f ca="1">-OFFSET(Loans3!$F$9,COLUMN(G$32)-COLUMN($B$32),0,1,1)</f>
        <v>0</v>
      </c>
      <c r="H41" s="39">
        <f ca="1">-OFFSET(Loans3!$F$9,COLUMN(H$32)-COLUMN($B$32),0,1,1)</f>
        <v>0</v>
      </c>
      <c r="I41" s="39">
        <f ca="1">-OFFSET(Loans3!$F$9,COLUMN(I$32)-COLUMN($B$32),0,1,1)</f>
        <v>0</v>
      </c>
      <c r="J41" s="39">
        <f ca="1">-OFFSET(Loans3!$F$9,COLUMN(J$32)-COLUMN($B$32),0,1,1)</f>
        <v>0</v>
      </c>
      <c r="K41" s="39">
        <f ca="1">-OFFSET(Loans3!$F$9,COLUMN(K$32)-COLUMN($B$32),0,1,1)</f>
        <v>0</v>
      </c>
      <c r="L41" s="39">
        <f ca="1">-OFFSET(Loans3!$F$9,COLUMN(L$32)-COLUMN($B$32),0,1,1)</f>
        <v>0</v>
      </c>
      <c r="M41" s="39">
        <f ca="1">-OFFSET(Loans3!$F$9,COLUMN(M$32)-COLUMN($B$32),0,1,1)</f>
        <v>0</v>
      </c>
      <c r="N41" s="39">
        <f ca="1">-OFFSET(Loans3!$F$9,COLUMN(N$32)-COLUMN($B$32),0,1,1)</f>
        <v>0</v>
      </c>
      <c r="O41" s="39">
        <f t="shared" ca="1" si="9"/>
        <v>0</v>
      </c>
      <c r="P41" s="39">
        <f ca="1">-SUM(OFFSET(Loans3!$F$10,12*(COLUMN(P$32)-COLUMN($O$32)),0,12,1))</f>
        <v>0</v>
      </c>
      <c r="Q41" s="39">
        <f ca="1">-SUM(OFFSET(Loans3!$F$10,12*(COLUMN(Q$32)-COLUMN($O$32)),0,12,1))</f>
        <v>0</v>
      </c>
      <c r="R41" s="39">
        <f ca="1">-SUM(OFFSET(Loans3!$F$10,12*(COLUMN(R$32)-COLUMN($O$32)),0,12,1))</f>
        <v>0</v>
      </c>
      <c r="S41" s="39">
        <f ca="1">-SUM(OFFSET(Loans3!$F$10,12*(COLUMN(S$32)-COLUMN($O$32)),0,12,1))</f>
        <v>0</v>
      </c>
    </row>
    <row r="42" spans="1:19" s="11" customFormat="1" ht="16.149999999999999" customHeight="1" x14ac:dyDescent="0.3">
      <c r="A42" s="124" t="s">
        <v>122</v>
      </c>
      <c r="B42" s="43" t="s">
        <v>208</v>
      </c>
      <c r="C42" s="39">
        <f ca="1">-OFFSET(Leases!$F$9,COLUMN(C$32)-COLUMN($B$32),0,1,1)</f>
        <v>0</v>
      </c>
      <c r="D42" s="39">
        <f ca="1">-OFFSET(Leases!$F$9,COLUMN(D$32)-COLUMN($B$32),0,1,1)</f>
        <v>0</v>
      </c>
      <c r="E42" s="39">
        <f ca="1">-OFFSET(Leases!$F$9,COLUMN(E$32)-COLUMN($B$32),0,1,1)</f>
        <v>0</v>
      </c>
      <c r="F42" s="39">
        <f ca="1">-OFFSET(Leases!$F$9,COLUMN(F$32)-COLUMN($B$32),0,1,1)</f>
        <v>0</v>
      </c>
      <c r="G42" s="39">
        <f ca="1">-OFFSET(Leases!$F$9,COLUMN(G$32)-COLUMN($B$32),0,1,1)</f>
        <v>0</v>
      </c>
      <c r="H42" s="39">
        <f ca="1">-OFFSET(Leases!$F$9,COLUMN(H$32)-COLUMN($B$32),0,1,1)</f>
        <v>0</v>
      </c>
      <c r="I42" s="39">
        <f ca="1">-OFFSET(Leases!$F$9,COLUMN(I$32)-COLUMN($B$32),0,1,1)</f>
        <v>0</v>
      </c>
      <c r="J42" s="39">
        <f ca="1">-OFFSET(Leases!$F$9,COLUMN(J$32)-COLUMN($B$32),0,1,1)</f>
        <v>0</v>
      </c>
      <c r="K42" s="39">
        <f ca="1">-OFFSET(Leases!$F$9,COLUMN(K$32)-COLUMN($B$32),0,1,1)</f>
        <v>0</v>
      </c>
      <c r="L42" s="39">
        <f ca="1">-OFFSET(Leases!$F$9,COLUMN(L$32)-COLUMN($B$32),0,1,1)</f>
        <v>0</v>
      </c>
      <c r="M42" s="39">
        <f ca="1">-OFFSET(Leases!$F$9,COLUMN(M$32)-COLUMN($B$32),0,1,1)</f>
        <v>0</v>
      </c>
      <c r="N42" s="39">
        <f ca="1">-OFFSET(Leases!$F$9,COLUMN(N$32)-COLUMN($B$32),0,1,1)</f>
        <v>0</v>
      </c>
      <c r="O42" s="39">
        <f t="shared" ca="1" si="9"/>
        <v>0</v>
      </c>
      <c r="P42" s="39">
        <f ca="1">-SUM(OFFSET(Leases!$F$10,12*(COLUMN(P$32)-COLUMN($O$32)),0,12,1))</f>
        <v>0</v>
      </c>
      <c r="Q42" s="39">
        <f ca="1">-SUM(OFFSET(Leases!$F$10,12*(COLUMN(Q$32)-COLUMN($O$32)),0,12,1))</f>
        <v>0</v>
      </c>
      <c r="R42" s="39">
        <f ca="1">-SUM(OFFSET(Leases!$F$10,12*(COLUMN(R$32)-COLUMN($O$32)),0,12,1))</f>
        <v>0</v>
      </c>
      <c r="S42" s="39">
        <f ca="1">-SUM(OFFSET(Leases!$F$10,12*(COLUMN(S$32)-COLUMN($O$32)),0,12,1))</f>
        <v>0</v>
      </c>
    </row>
    <row r="43" spans="1:19" s="72" customFormat="1" ht="16.149999999999999" customHeight="1" thickBot="1" x14ac:dyDescent="0.3">
      <c r="A43" s="134"/>
      <c r="B43" s="74" t="s">
        <v>83</v>
      </c>
      <c r="C43" s="73">
        <f ca="1">SUM(C33:C42)</f>
        <v>-88133183.452989683</v>
      </c>
      <c r="D43" s="73">
        <f t="shared" ref="D43:S43" ca="1" si="10">SUM(D33:D42)</f>
        <v>-89014515.287519574</v>
      </c>
      <c r="E43" s="73">
        <f t="shared" ca="1" si="10"/>
        <v>-89904660.440394774</v>
      </c>
      <c r="F43" s="73">
        <f t="shared" ca="1" si="10"/>
        <v>-90803707.044798717</v>
      </c>
      <c r="G43" s="73">
        <f t="shared" ca="1" si="10"/>
        <v>-91711744.115246698</v>
      </c>
      <c r="H43" s="73">
        <f t="shared" ca="1" si="10"/>
        <v>-92628861.556399167</v>
      </c>
      <c r="I43" s="73">
        <f t="shared" ca="1" si="10"/>
        <v>-93555150.171963155</v>
      </c>
      <c r="J43" s="73">
        <f t="shared" ca="1" si="10"/>
        <v>-94490701.673682779</v>
      </c>
      <c r="K43" s="73">
        <f t="shared" ca="1" si="10"/>
        <v>-95435608.690419614</v>
      </c>
      <c r="L43" s="73">
        <f t="shared" ca="1" si="10"/>
        <v>-96389964.777323812</v>
      </c>
      <c r="M43" s="73">
        <f t="shared" ca="1" si="10"/>
        <v>-97353864.425097048</v>
      </c>
      <c r="N43" s="73">
        <f t="shared" ca="1" si="10"/>
        <v>-98327403.069348037</v>
      </c>
      <c r="O43" s="73">
        <f t="shared" ca="1" si="10"/>
        <v>-1117749364.7051833</v>
      </c>
      <c r="P43" s="73">
        <f t="shared" ca="1" si="10"/>
        <v>-3198277702.9229717</v>
      </c>
      <c r="Q43" s="73">
        <f t="shared" ca="1" si="10"/>
        <v>-3678765812.4165707</v>
      </c>
      <c r="R43" s="73">
        <f t="shared" ca="1" si="10"/>
        <v>-4079463856.6846423</v>
      </c>
      <c r="S43" s="73">
        <f t="shared" ca="1" si="10"/>
        <v>-4596127798.7889729</v>
      </c>
    </row>
    <row r="44" spans="1:19" ht="16.149999999999999" customHeight="1" x14ac:dyDescent="0.3">
      <c r="A44" s="121"/>
      <c r="B44" s="5" t="s">
        <v>84</v>
      </c>
      <c r="C44" s="39">
        <f t="shared" ref="C44:S44" ca="1" si="11">SUM(C26,C31,C43)</f>
        <v>-2307710809.4420271</v>
      </c>
      <c r="D44" s="39">
        <f t="shared" ca="1" si="11"/>
        <v>1386897588.7882104</v>
      </c>
      <c r="E44" s="39">
        <f t="shared" ca="1" si="11"/>
        <v>1254898749.9287896</v>
      </c>
      <c r="F44" s="39">
        <f t="shared" ca="1" si="11"/>
        <v>1518896427.6476314</v>
      </c>
      <c r="G44" s="39">
        <f t="shared" ca="1" si="11"/>
        <v>1254898749.9287896</v>
      </c>
      <c r="H44" s="39">
        <f t="shared" ca="1" si="11"/>
        <v>-496563483.74035197</v>
      </c>
      <c r="I44" s="39">
        <f t="shared" ca="1" si="11"/>
        <v>1386897588.7882109</v>
      </c>
      <c r="J44" s="39">
        <f t="shared" ca="1" si="11"/>
        <v>976438393.82451808</v>
      </c>
      <c r="K44" s="39">
        <f t="shared" ca="1" si="11"/>
        <v>1797356783.7519033</v>
      </c>
      <c r="L44" s="39">
        <f t="shared" ca="1" si="11"/>
        <v>1254898749.9287899</v>
      </c>
      <c r="M44" s="39">
        <f t="shared" ca="1" si="11"/>
        <v>1518896427.6476314</v>
      </c>
      <c r="N44" s="39">
        <f t="shared" ca="1" si="11"/>
        <v>1254898749.9287899</v>
      </c>
      <c r="O44" s="39">
        <f t="shared" ca="1" si="11"/>
        <v>10800703916.980885</v>
      </c>
      <c r="P44" s="39">
        <f t="shared" ca="1" si="11"/>
        <v>7942344002.5455799</v>
      </c>
      <c r="Q44" s="39">
        <f t="shared" ca="1" si="11"/>
        <v>8309953372.217289</v>
      </c>
      <c r="R44" s="39">
        <f t="shared" ca="1" si="11"/>
        <v>9497269218.7105598</v>
      </c>
      <c r="S44" s="39">
        <f t="shared" ca="1" si="11"/>
        <v>10149997664.892511</v>
      </c>
    </row>
    <row r="45" spans="1:19" ht="16.149999999999999" customHeight="1" x14ac:dyDescent="0.3">
      <c r="A45" s="121"/>
      <c r="B45" s="5" t="s">
        <v>85</v>
      </c>
      <c r="C45" s="39">
        <f ca="1">BalanceSheet!C16-BalanceSheet!C32</f>
        <v>603749999.99999988</v>
      </c>
      <c r="D45" s="39">
        <f t="shared" ref="D45:N45" ca="1" si="12">C46</f>
        <v>-1703960809.4420271</v>
      </c>
      <c r="E45" s="39">
        <f t="shared" ca="1" si="12"/>
        <v>-317063220.6538167</v>
      </c>
      <c r="F45" s="39">
        <f t="shared" ca="1" si="12"/>
        <v>937835529.27497292</v>
      </c>
      <c r="G45" s="39">
        <f t="shared" ca="1" si="12"/>
        <v>2456731956.9226046</v>
      </c>
      <c r="H45" s="39">
        <f t="shared" ca="1" si="12"/>
        <v>3711630706.8513942</v>
      </c>
      <c r="I45" s="39">
        <f t="shared" ca="1" si="12"/>
        <v>3215067223.111042</v>
      </c>
      <c r="J45" s="39">
        <f t="shared" ca="1" si="12"/>
        <v>4601964811.8992529</v>
      </c>
      <c r="K45" s="39">
        <f t="shared" ca="1" si="12"/>
        <v>5578403205.7237711</v>
      </c>
      <c r="L45" s="39">
        <f t="shared" ca="1" si="12"/>
        <v>7375759989.4756746</v>
      </c>
      <c r="M45" s="39">
        <f t="shared" ca="1" si="12"/>
        <v>8630658739.4044647</v>
      </c>
      <c r="N45" s="39">
        <f t="shared" ca="1" si="12"/>
        <v>10149555167.052095</v>
      </c>
      <c r="O45" s="39">
        <f ca="1">C45</f>
        <v>603749999.99999988</v>
      </c>
      <c r="P45" s="39">
        <f ca="1">O46</f>
        <v>11404453916.980885</v>
      </c>
      <c r="Q45" s="39">
        <f ca="1">P46</f>
        <v>19346797919.526466</v>
      </c>
      <c r="R45" s="39">
        <f ca="1">Q46</f>
        <v>27656751291.743755</v>
      </c>
      <c r="S45" s="39">
        <f ca="1">R46</f>
        <v>37154020510.454315</v>
      </c>
    </row>
    <row r="46" spans="1:19" ht="16.149999999999999" customHeight="1" thickBot="1" x14ac:dyDescent="0.35">
      <c r="A46" s="121"/>
      <c r="B46" s="2" t="s">
        <v>86</v>
      </c>
      <c r="C46" s="75">
        <f ca="1">SUM(C44:C45)</f>
        <v>-1703960809.4420271</v>
      </c>
      <c r="D46" s="75">
        <f t="shared" ref="D46:S46" ca="1" si="13">SUM(D44:D45)</f>
        <v>-317063220.6538167</v>
      </c>
      <c r="E46" s="75">
        <f t="shared" ca="1" si="13"/>
        <v>937835529.27497292</v>
      </c>
      <c r="F46" s="75">
        <f t="shared" ca="1" si="13"/>
        <v>2456731956.9226046</v>
      </c>
      <c r="G46" s="75">
        <f t="shared" ca="1" si="13"/>
        <v>3711630706.8513942</v>
      </c>
      <c r="H46" s="75">
        <f t="shared" ca="1" si="13"/>
        <v>3215067223.111042</v>
      </c>
      <c r="I46" s="75">
        <f t="shared" ca="1" si="13"/>
        <v>4601964811.8992529</v>
      </c>
      <c r="J46" s="75">
        <f t="shared" ca="1" si="13"/>
        <v>5578403205.7237711</v>
      </c>
      <c r="K46" s="75">
        <f t="shared" ca="1" si="13"/>
        <v>7375759989.4756746</v>
      </c>
      <c r="L46" s="75">
        <f t="shared" ca="1" si="13"/>
        <v>8630658739.4044647</v>
      </c>
      <c r="M46" s="75">
        <f t="shared" ca="1" si="13"/>
        <v>10149555167.052095</v>
      </c>
      <c r="N46" s="75">
        <f t="shared" ca="1" si="13"/>
        <v>11404453916.980885</v>
      </c>
      <c r="O46" s="75">
        <f t="shared" ca="1" si="13"/>
        <v>11404453916.980885</v>
      </c>
      <c r="P46" s="75">
        <f t="shared" ca="1" si="13"/>
        <v>19346797919.526466</v>
      </c>
      <c r="Q46" s="75">
        <f t="shared" ca="1" si="13"/>
        <v>27656751291.743755</v>
      </c>
      <c r="R46" s="75">
        <f t="shared" ca="1" si="13"/>
        <v>37154020510.454315</v>
      </c>
      <c r="S46" s="75">
        <f t="shared" ca="1" si="13"/>
        <v>47304018175.346825</v>
      </c>
    </row>
    <row r="47" spans="1:19" ht="16.149999999999999" customHeight="1" thickTop="1" x14ac:dyDescent="0.3"/>
  </sheetData>
  <pageMargins left="0.59055118110236227" right="0.59055118110236227" top="0.59055118110236227" bottom="0.59055118110236227" header="0.39370078740157483" footer="0.39370078740157483"/>
  <pageSetup paperSize="9" scale="65" fitToWidth="3" orientation="landscape"/>
  <headerFooter>
    <oddFooter>&amp;C&amp;9Page &amp;P of &amp;N</oddFooter>
  </headerFooter>
  <colBreaks count="1" manualBreakCount="1">
    <brk id="15" max="33" man="1"/>
  </colBreaks>
  <ignoredErrors>
    <ignoredError sqref="O24 O45"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P81"/>
  <sheetViews>
    <sheetView zoomScale="95" zoomScaleNormal="95" workbookViewId="0">
      <pane xSplit="2" ySplit="4" topLeftCell="C5" activePane="bottomRight" state="frozen"/>
      <selection pane="topRight" activeCell="B1" sqref="B1"/>
      <selection pane="bottomLeft" activeCell="A7" sqref="A7"/>
      <selection pane="bottomRight" activeCell="AB17" sqref="AB17"/>
    </sheetView>
  </sheetViews>
  <sheetFormatPr defaultColWidth="9.140625" defaultRowHeight="16.149999999999999" customHeight="1" x14ac:dyDescent="0.3"/>
  <cols>
    <col min="1" max="1" width="5.7109375" style="116" customWidth="1"/>
    <col min="2" max="2" width="35.7109375" style="5" customWidth="1"/>
    <col min="3" max="3" width="15" style="11" bestFit="1" customWidth="1"/>
    <col min="4" max="7" width="16.140625" style="11" bestFit="1" customWidth="1"/>
    <col min="8" max="20" width="16.140625" style="5" bestFit="1" customWidth="1"/>
    <col min="21" max="55" width="9.140625" style="5" customWidth="1"/>
    <col min="56" max="16384" width="9.140625" style="5"/>
  </cols>
  <sheetData>
    <row r="1" spans="1:20" ht="16.149999999999999" customHeight="1" x14ac:dyDescent="0.3">
      <c r="B1" s="135" t="str">
        <f>IF(ISBLANK(Assumptions!$C$4),"Example Limited",Assumptions!$C$4)</f>
        <v>Maisha Transport Company Limited</v>
      </c>
      <c r="C1" s="3"/>
      <c r="O1" s="76"/>
    </row>
    <row r="2" spans="1:20" ht="16.149999999999999" customHeight="1" x14ac:dyDescent="0.3">
      <c r="B2" s="6" t="s">
        <v>69</v>
      </c>
      <c r="C2" s="3"/>
    </row>
    <row r="3" spans="1:20" ht="16.149999999999999" customHeight="1" x14ac:dyDescent="0.3">
      <c r="B3" s="77" t="s">
        <v>57</v>
      </c>
    </row>
    <row r="4" spans="1:20" s="81" customFormat="1" ht="18" customHeight="1" x14ac:dyDescent="0.25">
      <c r="A4" s="136"/>
      <c r="B4" s="78"/>
      <c r="C4" s="79">
        <f ca="1">IF(ISBLANK(Assumptions!$C$5)=TRUE,DATE(YEAR(TODAY()),MONTH(TODAY()),0),DATE(YEAR(Assumptions!$C$5),MONTH(Assumptions!$C$5),0))</f>
        <v>45838</v>
      </c>
      <c r="D4" s="32">
        <f ca="1">IF(ISBLANK(Assumptions!$C$5)=TRUE,DATE(YEAR(TODAY()),MONTH(TODAY())+1,0),DATE(YEAR(Assumptions!$C$5),MONTH(Assumptions!$C$5)+1,0))</f>
        <v>45869</v>
      </c>
      <c r="E4" s="32">
        <f ca="1">DATE(YEAR(D4),MONTH(D4)+2,0)</f>
        <v>45900</v>
      </c>
      <c r="F4" s="32">
        <f t="shared" ref="F4:N4" ca="1" si="0">DATE(YEAR(E4),MONTH(E4)+2,0)</f>
        <v>45930</v>
      </c>
      <c r="G4" s="32">
        <f t="shared" ca="1" si="0"/>
        <v>45961</v>
      </c>
      <c r="H4" s="32">
        <f t="shared" ca="1" si="0"/>
        <v>45991</v>
      </c>
      <c r="I4" s="32">
        <f t="shared" ca="1" si="0"/>
        <v>46022</v>
      </c>
      <c r="J4" s="32">
        <f t="shared" ca="1" si="0"/>
        <v>46053</v>
      </c>
      <c r="K4" s="32">
        <f t="shared" ca="1" si="0"/>
        <v>46081</v>
      </c>
      <c r="L4" s="32">
        <f t="shared" ca="1" si="0"/>
        <v>46112</v>
      </c>
      <c r="M4" s="32">
        <f t="shared" ca="1" si="0"/>
        <v>46142</v>
      </c>
      <c r="N4" s="32">
        <f t="shared" ca="1" si="0"/>
        <v>46173</v>
      </c>
      <c r="O4" s="32">
        <f ca="1">DATE(YEAR(N4),MONTH(N4)+2,0)</f>
        <v>46203</v>
      </c>
      <c r="P4" s="80" t="str">
        <f ca="1">"Year-"&amp;YEAR(O4)</f>
        <v>Year-2026</v>
      </c>
      <c r="Q4" s="80" t="str">
        <f ca="1">"Year-"&amp;YEAR($O4)+1</f>
        <v>Year-2027</v>
      </c>
      <c r="R4" s="80" t="str">
        <f ca="1">"Year-"&amp;YEAR($O4)+2</f>
        <v>Year-2028</v>
      </c>
      <c r="S4" s="80" t="str">
        <f ca="1">"Year-"&amp;YEAR($O4)+3</f>
        <v>Year-2029</v>
      </c>
      <c r="T4" s="80" t="str">
        <f ca="1">"Year-"&amp;YEAR($O4)+4</f>
        <v>Year-2030</v>
      </c>
    </row>
    <row r="5" spans="1:20" s="2" customFormat="1" ht="16.149999999999999" customHeight="1" x14ac:dyDescent="0.25">
      <c r="A5" s="117"/>
      <c r="B5" s="2" t="s">
        <v>138</v>
      </c>
      <c r="C5" s="37"/>
      <c r="D5" s="82"/>
      <c r="E5" s="37"/>
      <c r="F5" s="37"/>
      <c r="G5" s="37"/>
      <c r="H5" s="83"/>
      <c r="I5" s="83"/>
      <c r="J5" s="83"/>
      <c r="K5" s="83"/>
      <c r="L5" s="83"/>
      <c r="M5" s="83"/>
      <c r="N5" s="83"/>
      <c r="O5" s="83"/>
      <c r="P5" s="83"/>
      <c r="Q5" s="83"/>
      <c r="R5" s="83"/>
      <c r="S5" s="83"/>
      <c r="T5" s="83"/>
    </row>
    <row r="6" spans="1:20" s="2" customFormat="1" ht="16.149999999999999" customHeight="1" x14ac:dyDescent="0.25">
      <c r="A6" s="117"/>
      <c r="B6" s="2" t="s">
        <v>139</v>
      </c>
      <c r="C6" s="40"/>
      <c r="D6" s="84"/>
      <c r="E6" s="40"/>
      <c r="F6" s="40"/>
      <c r="G6" s="40"/>
      <c r="H6" s="52"/>
      <c r="I6" s="52"/>
      <c r="J6" s="52"/>
      <c r="K6" s="52"/>
      <c r="L6" s="52"/>
      <c r="M6" s="52"/>
      <c r="N6" s="52"/>
      <c r="O6" s="52"/>
      <c r="P6" s="52"/>
      <c r="Q6" s="52"/>
      <c r="R6" s="52"/>
      <c r="S6" s="52"/>
      <c r="T6" s="52"/>
    </row>
    <row r="7" spans="1:20" ht="16.149999999999999" customHeight="1" x14ac:dyDescent="0.3">
      <c r="A7" s="116" t="s">
        <v>98</v>
      </c>
      <c r="B7" s="5" t="s">
        <v>49</v>
      </c>
      <c r="C7" s="39">
        <f ca="1">SUMIF(Assumptions!$A$76:$C$100,$A7,Assumptions!$C$76:$C$100)</f>
        <v>7893509995</v>
      </c>
      <c r="D7" s="39">
        <f ca="1">C7-CashFlow!C28-CashFlow!C10</f>
        <v>7535946245</v>
      </c>
      <c r="E7" s="39">
        <f ca="1">D7-CashFlow!D28-CashFlow!D10</f>
        <v>7178382495</v>
      </c>
      <c r="F7" s="39">
        <f ca="1">E7-CashFlow!E28-CashFlow!E10</f>
        <v>6820818745</v>
      </c>
      <c r="G7" s="39">
        <f ca="1">F7-CashFlow!F28-CashFlow!F10</f>
        <v>6463254995</v>
      </c>
      <c r="H7" s="39">
        <f ca="1">G7-CashFlow!G28-CashFlow!G10</f>
        <v>6105691245</v>
      </c>
      <c r="I7" s="39">
        <f ca="1">H7-CashFlow!H28-CashFlow!H10</f>
        <v>5748127495</v>
      </c>
      <c r="J7" s="39">
        <f ca="1">I7-CashFlow!I28-CashFlow!I10</f>
        <v>5390563745</v>
      </c>
      <c r="K7" s="39">
        <f ca="1">J7-CashFlow!J28-CashFlow!J10</f>
        <v>5032999995</v>
      </c>
      <c r="L7" s="39">
        <f ca="1">K7-CashFlow!K28-CashFlow!K10</f>
        <v>4675436245</v>
      </c>
      <c r="M7" s="39">
        <f ca="1">L7-CashFlow!L28-CashFlow!L10</f>
        <v>4317872495</v>
      </c>
      <c r="N7" s="39">
        <f ca="1">M7-CashFlow!M28-CashFlow!M10</f>
        <v>3960308745</v>
      </c>
      <c r="O7" s="39">
        <f ca="1">N7-CashFlow!N28-CashFlow!N10</f>
        <v>3321899370</v>
      </c>
      <c r="P7" s="39">
        <f ca="1">O7</f>
        <v>3321899370</v>
      </c>
      <c r="Q7" s="39">
        <f ca="1">P7-CashFlow!P28-CashFlow!P10</f>
        <v>3041053745</v>
      </c>
      <c r="R7" s="39">
        <f ca="1">Q7-CashFlow!Q28-CashFlow!Q10</f>
        <v>2760208120</v>
      </c>
      <c r="S7" s="39">
        <f ca="1">R7-CashFlow!R28-CashFlow!R10</f>
        <v>2479362495</v>
      </c>
      <c r="T7" s="39">
        <f ca="1">S7-CashFlow!S28-CashFlow!S10</f>
        <v>2198516870</v>
      </c>
    </row>
    <row r="8" spans="1:20" ht="16.149999999999999" customHeight="1" x14ac:dyDescent="0.3">
      <c r="A8" s="116" t="s">
        <v>99</v>
      </c>
      <c r="B8" s="5" t="s">
        <v>100</v>
      </c>
      <c r="C8" s="39">
        <f ca="1">SUMIF(Assumptions!$A$76:$C$100,$A8,Assumptions!$C$76:$C$100)</f>
        <v>0</v>
      </c>
      <c r="D8" s="39">
        <f ca="1">C8-CashFlow!C29-CashFlow!C11</f>
        <v>0</v>
      </c>
      <c r="E8" s="39">
        <f ca="1">D8-CashFlow!D29-CashFlow!D11</f>
        <v>0</v>
      </c>
      <c r="F8" s="39">
        <f ca="1">E8-CashFlow!E29-CashFlow!E11</f>
        <v>0</v>
      </c>
      <c r="G8" s="39">
        <f ca="1">F8-CashFlow!F29-CashFlow!F11</f>
        <v>0</v>
      </c>
      <c r="H8" s="39">
        <f ca="1">G8-CashFlow!G29-CashFlow!G11</f>
        <v>0</v>
      </c>
      <c r="I8" s="39">
        <f ca="1">H8-CashFlow!H29-CashFlow!H11</f>
        <v>0</v>
      </c>
      <c r="J8" s="39">
        <f ca="1">I8-CashFlow!I29-CashFlow!I11</f>
        <v>0</v>
      </c>
      <c r="K8" s="39">
        <f ca="1">J8-CashFlow!J29-CashFlow!J11</f>
        <v>0</v>
      </c>
      <c r="L8" s="39">
        <f ca="1">K8-CashFlow!K29-CashFlow!K11</f>
        <v>0</v>
      </c>
      <c r="M8" s="39">
        <f ca="1">L8-CashFlow!L29-CashFlow!L11</f>
        <v>0</v>
      </c>
      <c r="N8" s="39">
        <f ca="1">M8-CashFlow!M29-CashFlow!M11</f>
        <v>0</v>
      </c>
      <c r="O8" s="39">
        <f ca="1">N8-CashFlow!N29-CashFlow!N11</f>
        <v>0</v>
      </c>
      <c r="P8" s="39">
        <f t="shared" ref="P8:P9" ca="1" si="1">O8</f>
        <v>0</v>
      </c>
      <c r="Q8" s="39">
        <f ca="1">P8-CashFlow!P29-CashFlow!P11</f>
        <v>0</v>
      </c>
      <c r="R8" s="39">
        <f ca="1">Q8-CashFlow!Q29-CashFlow!Q11</f>
        <v>0</v>
      </c>
      <c r="S8" s="39">
        <f ca="1">R8-CashFlow!R29-CashFlow!R11</f>
        <v>0</v>
      </c>
      <c r="T8" s="39">
        <f ca="1">S8-CashFlow!S29-CashFlow!S11</f>
        <v>0</v>
      </c>
    </row>
    <row r="9" spans="1:20" ht="16.149999999999999" customHeight="1" x14ac:dyDescent="0.3">
      <c r="A9" s="116" t="s">
        <v>101</v>
      </c>
      <c r="B9" s="5" t="s">
        <v>102</v>
      </c>
      <c r="C9" s="39">
        <f ca="1">SUMIF(Assumptions!$A$76:$C$100,$A9,Assumptions!$C$76:$C$100)</f>
        <v>0</v>
      </c>
      <c r="D9" s="39">
        <f ca="1">C9-CashFlow!C30</f>
        <v>0</v>
      </c>
      <c r="E9" s="39">
        <f ca="1">D9-CashFlow!D30</f>
        <v>0</v>
      </c>
      <c r="F9" s="39">
        <f ca="1">E9-CashFlow!E30</f>
        <v>0</v>
      </c>
      <c r="G9" s="39">
        <f ca="1">F9-CashFlow!F30</f>
        <v>0</v>
      </c>
      <c r="H9" s="39">
        <f ca="1">G9-CashFlow!G30</f>
        <v>0</v>
      </c>
      <c r="I9" s="39">
        <f ca="1">H9-CashFlow!H30</f>
        <v>0</v>
      </c>
      <c r="J9" s="39">
        <f ca="1">I9-CashFlow!I30</f>
        <v>0</v>
      </c>
      <c r="K9" s="39">
        <f ca="1">J9-CashFlow!J30</f>
        <v>0</v>
      </c>
      <c r="L9" s="39">
        <f ca="1">K9-CashFlow!K30</f>
        <v>0</v>
      </c>
      <c r="M9" s="39">
        <f ca="1">L9-CashFlow!L30</f>
        <v>0</v>
      </c>
      <c r="N9" s="39">
        <f ca="1">M9-CashFlow!M30</f>
        <v>0</v>
      </c>
      <c r="O9" s="39">
        <f ca="1">N9-CashFlow!N30</f>
        <v>0</v>
      </c>
      <c r="P9" s="39">
        <f t="shared" ca="1" si="1"/>
        <v>0</v>
      </c>
      <c r="Q9" s="39">
        <f ca="1">P9-CashFlow!P30</f>
        <v>0</v>
      </c>
      <c r="R9" s="39">
        <f ca="1">Q9-CashFlow!Q30</f>
        <v>0</v>
      </c>
      <c r="S9" s="39">
        <f ca="1">R9-CashFlow!R30</f>
        <v>0</v>
      </c>
      <c r="T9" s="39">
        <f ca="1">S9-CashFlow!S30</f>
        <v>0</v>
      </c>
    </row>
    <row r="10" spans="1:20" ht="16.149999999999999" customHeight="1" thickBot="1" x14ac:dyDescent="0.35">
      <c r="C10" s="85">
        <f ca="1">SUM(C7:C9)</f>
        <v>7893509995</v>
      </c>
      <c r="D10" s="85">
        <f t="shared" ref="D10:T10" ca="1" si="2">SUM(D7:D9)</f>
        <v>7535946245</v>
      </c>
      <c r="E10" s="85">
        <f t="shared" ca="1" si="2"/>
        <v>7178382495</v>
      </c>
      <c r="F10" s="85">
        <f t="shared" ca="1" si="2"/>
        <v>6820818745</v>
      </c>
      <c r="G10" s="85">
        <f t="shared" ca="1" si="2"/>
        <v>6463254995</v>
      </c>
      <c r="H10" s="85">
        <f t="shared" ca="1" si="2"/>
        <v>6105691245</v>
      </c>
      <c r="I10" s="85">
        <f t="shared" ca="1" si="2"/>
        <v>5748127495</v>
      </c>
      <c r="J10" s="85">
        <f t="shared" ca="1" si="2"/>
        <v>5390563745</v>
      </c>
      <c r="K10" s="85">
        <f t="shared" ca="1" si="2"/>
        <v>5032999995</v>
      </c>
      <c r="L10" s="85">
        <f t="shared" ca="1" si="2"/>
        <v>4675436245</v>
      </c>
      <c r="M10" s="85">
        <f t="shared" ca="1" si="2"/>
        <v>4317872495</v>
      </c>
      <c r="N10" s="85">
        <f t="shared" ca="1" si="2"/>
        <v>3960308745</v>
      </c>
      <c r="O10" s="85">
        <f t="shared" ca="1" si="2"/>
        <v>3321899370</v>
      </c>
      <c r="P10" s="85">
        <f t="shared" ca="1" si="2"/>
        <v>3321899370</v>
      </c>
      <c r="Q10" s="85">
        <f t="shared" ca="1" si="2"/>
        <v>3041053745</v>
      </c>
      <c r="R10" s="85">
        <f t="shared" ca="1" si="2"/>
        <v>2760208120</v>
      </c>
      <c r="S10" s="85">
        <f t="shared" ca="1" si="2"/>
        <v>2479362495</v>
      </c>
      <c r="T10" s="85">
        <f t="shared" ca="1" si="2"/>
        <v>2198516870</v>
      </c>
    </row>
    <row r="11" spans="1:20" s="2" customFormat="1" ht="16.149999999999999" customHeight="1" x14ac:dyDescent="0.25">
      <c r="A11" s="117"/>
      <c r="B11" s="2" t="s">
        <v>34</v>
      </c>
      <c r="C11" s="40"/>
      <c r="D11" s="40"/>
      <c r="E11" s="40"/>
      <c r="F11" s="40"/>
      <c r="G11" s="40"/>
      <c r="H11" s="52"/>
      <c r="I11" s="52"/>
      <c r="J11" s="52"/>
      <c r="K11" s="52"/>
      <c r="L11" s="52"/>
      <c r="M11" s="52"/>
      <c r="N11" s="52"/>
      <c r="O11" s="52"/>
      <c r="P11" s="52"/>
      <c r="Q11" s="52"/>
      <c r="R11" s="52"/>
      <c r="S11" s="52"/>
      <c r="T11" s="52"/>
    </row>
    <row r="12" spans="1:20" ht="16.149999999999999" customHeight="1" x14ac:dyDescent="0.3">
      <c r="A12" s="116" t="s">
        <v>105</v>
      </c>
      <c r="B12" s="5" t="s">
        <v>25</v>
      </c>
      <c r="C12" s="39">
        <f ca="1">SUMIF(Assumptions!$A$76:$C$100,$A12,Assumptions!$C$76:$C$100)</f>
        <v>0</v>
      </c>
      <c r="D12" s="39">
        <f ca="1">(IF(COLUMN(D$4)-MATCH(MAX(DATE(YEAR(D$4-D$53),MONTH(D$4-D$53)+1,0),DATE(YEAR($D$4),MONTH($D$4),0)),$A$4:$AP$4,0)=0,0,SUM(OFFSET($A$54,0,MATCH(MAX(DATE(YEAR(D$4-D$53),MONTH(D$4-D$53)+1,0),DATE(YEAR($D$4),MONTH($D$4),0)),$A$4:$AP$4,0),1,COLUMN(D$4)-MATCH(MAX(DATE(YEAR(D$4-D$53),MONTH(D$4-D$53)+1,0),DATE(YEAR($D$4),MONTH($D$4),0)),$A$4:$AP$4,0))))+IF(ISNA(MATCH(DATE(YEAR(D$4-D$53),MONTH(D$4-D$53)+1,0),$A$4:$AP$4,0)),0,IF(DATE(YEAR(D$4-D$53),MONTH(D$4-D$53)+1,0)&lt;=$C$4,0,OFFSET($A$54,0,MATCH(DATE(YEAR(D$4-D$53),MONTH(D$4-D$53)+1,0),$A$4:$AP$4,0)-1,1,1)/OFFSET($A$43,0,MATCH(DATE(YEAR(D$4-D$53),MONTH(D$4-D$53)+1,0),$A$4:$AP$4,0)-1,1,1)*IF((D$4-D$53)&gt;DATE(YEAR($D$4),MONTH($D$4),0),(D$53-(D$4-DATE(YEAR(D$4-D$53),MONTH(D$4-D$53)+1,0))),0)))+IF(C$53=0,0,($C$12/$C$53*IF(DATE(YEAR($D$4),MONTH($D$4),0)&gt;(D$4-D$53),DATE(YEAR($D$4),MONTH($D$4),0)-(D$4-D$53),0))))</f>
        <v>1935190191.822387</v>
      </c>
      <c r="E12" s="39">
        <f t="shared" ref="E12:O12" ca="1" si="3">(IF(COLUMN(E$4)-MATCH(MAX(DATE(YEAR(E$4-E$53),MONTH(E$4-E$53)+1,0),DATE(YEAR($D$4),MONTH($D$4),0)),$A$4:$AP$4,0)=0,0,SUM(OFFSET($A$54,0,MATCH(MAX(DATE(YEAR(E$4-E$53),MONTH(E$4-E$53)+1,0),DATE(YEAR($D$4),MONTH($D$4),0)),$A$4:$AP$4,0),1,COLUMN(E$4)-MATCH(MAX(DATE(YEAR(E$4-E$53),MONTH(E$4-E$53)+1,0),DATE(YEAR($D$4),MONTH($D$4),0)),$A$4:$AP$4,0))))+IF(ISNA(MATCH(DATE(YEAR(E$4-E$53),MONTH(E$4-E$53)+1,0),$A$4:$AP$4,0)),0,IF(DATE(YEAR(E$4-E$53),MONTH(E$4-E$53)+1,0)&lt;=$C$4,0,OFFSET($A$54,0,MATCH(DATE(YEAR(E$4-E$53),MONTH(E$4-E$53)+1,0),$A$4:$AP$4,0)-1,1,1)/OFFSET($A$43,0,MATCH(DATE(YEAR(E$4-E$53),MONTH(E$4-E$53)+1,0),$A$4:$AP$4,0)-1,1,1)*IF((E$4-E$53)&gt;DATE(YEAR($D$4),MONTH($D$4),0),(E$53-(E$4-DATE(YEAR(E$4-E$53),MONTH(E$4-E$53)+1,0))),0)))+IF(D$53=0,0,($C$12/$C$53*IF(DATE(YEAR($D$4),MONTH($D$4),0)&gt;(E$4-E$53),DATE(YEAR($D$4),MONTH($D$4),0)-(E$4-E$53),0))))</f>
        <v>1935190191.822387</v>
      </c>
      <c r="F12" s="39">
        <f t="shared" ca="1" si="3"/>
        <v>1999696531.5497999</v>
      </c>
      <c r="G12" s="39">
        <f t="shared" ca="1" si="3"/>
        <v>1935190191.822387</v>
      </c>
      <c r="H12" s="39">
        <f t="shared" ca="1" si="3"/>
        <v>1999696531.5497999</v>
      </c>
      <c r="I12" s="39">
        <f t="shared" ca="1" si="3"/>
        <v>1935190191.822387</v>
      </c>
      <c r="J12" s="39">
        <f t="shared" ca="1" si="3"/>
        <v>1935190191.822387</v>
      </c>
      <c r="K12" s="39">
        <f t="shared" ca="1" si="3"/>
        <v>2128709211.0046258</v>
      </c>
      <c r="L12" s="39">
        <f t="shared" ca="1" si="3"/>
        <v>1935190191.822387</v>
      </c>
      <c r="M12" s="39">
        <f t="shared" ca="1" si="3"/>
        <v>1999696531.5497999</v>
      </c>
      <c r="N12" s="39">
        <f t="shared" ca="1" si="3"/>
        <v>1935190191.822387</v>
      </c>
      <c r="O12" s="39">
        <f t="shared" ca="1" si="3"/>
        <v>1999696531.5497999</v>
      </c>
      <c r="P12" s="39">
        <f t="shared" ref="P12:P16" ca="1" si="4">O12</f>
        <v>1999696531.5497999</v>
      </c>
      <c r="Q12" s="39">
        <f ca="1">IF(P53=0,0,P12/P53*Q53*IF(P54=0,1,Q54/P54))</f>
        <v>2087683178.9379907</v>
      </c>
      <c r="R12" s="39">
        <f t="shared" ref="R12:T12" ca="1" si="5">IF(Q53=0,0,Q12/Q53*R53*IF(Q54=0,1,R54/Q54))</f>
        <v>2254697833.2530303</v>
      </c>
      <c r="S12" s="39">
        <f t="shared" ca="1" si="5"/>
        <v>2393089631.2940788</v>
      </c>
      <c r="T12" s="39">
        <f t="shared" ca="1" si="5"/>
        <v>2584536801.7976055</v>
      </c>
    </row>
    <row r="13" spans="1:20" ht="16.149999999999999" customHeight="1" x14ac:dyDescent="0.3">
      <c r="A13" s="116" t="s">
        <v>106</v>
      </c>
      <c r="B13" s="5" t="s">
        <v>107</v>
      </c>
      <c r="C13" s="39">
        <f ca="1">SUMIF(Assumptions!$A$76:$C$100,$A13,Assumptions!$C$76:$C$100)</f>
        <v>0</v>
      </c>
      <c r="D13" s="39">
        <f ca="1">(IF(COLUMN(D$4)-MATCH(MAX(DATE(YEAR(D$4-D$55),MONTH(D$4-D$55)+1,0),DATE(YEAR($D$4),MONTH($D$4),0)),$A$4:$AP$4,0)=0,0,SUM(OFFSET($A$56,0,MATCH(MAX(DATE(YEAR(D$4-D$55),MONTH(D$4-D$55)+1,0),DATE(YEAR($D$4),MONTH($D$4),0)),$A$4:$AP$4,0),1,COLUMN(D$4)-MATCH(MAX(DATE(YEAR(D$4-D$55),MONTH(D$4-D$55)+1,0),DATE(YEAR($D$4),MONTH($D$4),0)),$A$4:$AP$4,0))))+IF(ISNA(MATCH(DATE(YEAR(D$4-D$55),MONTH(D$4-D$55)+1,0),$A$4:$AP$4,0)),0,IF(DATE(YEAR(D$4-D$55),MONTH(D$4-D$55)+1,0)&lt;=$C$4,0,OFFSET($A$56,0,MATCH(DATE(YEAR(D$4-D$55),MONTH(D$4-D$55)+1,0),$A$4:$AP$4,0)-1,1,1)/OFFSET($A$43,0,MATCH(DATE(YEAR(D$4-D$55),MONTH(D$4-D$55)+1,0),$A$4:$AP$4,0)-1,1,1)*IF((D$4-D$55)&gt;DATE(YEAR($D$4),MONTH($D$4),0),(D$55-(D$4-DATE(YEAR(D$4-D$55),MONTH(D$4-D$55)+1,0))),0)))+IF(C$55=0,0,($C$13/$C$55*IF(DATE(YEAR($D$4),MONTH($D$4),0)&gt;(D$4-D$55),DATE(YEAR($D$4),MONTH($D$4),0)-(D$4-D$55),0))))</f>
        <v>3171561703.2644672</v>
      </c>
      <c r="E13" s="39">
        <f t="shared" ref="E13:O13" ca="1" si="6">(IF(COLUMN(E$4)-MATCH(MAX(DATE(YEAR(E$4-E$55),MONTH(E$4-E$55)+1,0),DATE(YEAR($D$4),MONTH($D$4),0)),$A$4:$AP$4,0)=0,0,SUM(OFFSET($A$56,0,MATCH(MAX(DATE(YEAR(E$4-E$55),MONTH(E$4-E$55)+1,0),DATE(YEAR($D$4),MONTH($D$4),0)),$A$4:$AP$4,0),1,COLUMN(E$4)-MATCH(MAX(DATE(YEAR(E$4-E$55),MONTH(E$4-E$55)+1,0),DATE(YEAR($D$4),MONTH($D$4),0)),$A$4:$AP$4,0))))+IF(ISNA(MATCH(DATE(YEAR(E$4-E$55),MONTH(E$4-E$55)+1,0),$A$4:$AP$4,0)),0,IF(DATE(YEAR(E$4-E$55),MONTH(E$4-E$55)+1,0)&lt;=$C$4,0,OFFSET($A$56,0,MATCH(DATE(YEAR(E$4-E$55),MONTH(E$4-E$55)+1,0),$A$4:$AP$4,0)-1,1,1)/OFFSET($A$43,0,MATCH(DATE(YEAR(E$4-E$55),MONTH(E$4-E$55)+1,0),$A$4:$AP$4,0)-1,1,1)*IF((E$4-E$55)&gt;DATE(YEAR($D$4),MONTH($D$4),0),(E$55-(E$4-DATE(YEAR(E$4-E$55),MONTH(E$4-E$55)+1,0))),0)))+IF(D$55=0,0,($C$13/$C$55*IF(DATE(YEAR($D$4),MONTH($D$4),0)&gt;(E$4-E$55),DATE(YEAR($D$4),MONTH($D$4),0)-(E$4-E$55),0))))</f>
        <v>3171561703.2644672</v>
      </c>
      <c r="F13" s="39">
        <f t="shared" ca="1" si="6"/>
        <v>3277280426.7066164</v>
      </c>
      <c r="G13" s="39">
        <f t="shared" ca="1" si="6"/>
        <v>3171561703.2644672</v>
      </c>
      <c r="H13" s="39">
        <f t="shared" ca="1" si="6"/>
        <v>3277280426.7066164</v>
      </c>
      <c r="I13" s="39">
        <f t="shared" ca="1" si="6"/>
        <v>3171561703.2644672</v>
      </c>
      <c r="J13" s="39">
        <f t="shared" ca="1" si="6"/>
        <v>3171561703.2644672</v>
      </c>
      <c r="K13" s="39">
        <f t="shared" ca="1" si="6"/>
        <v>3511371885.7570896</v>
      </c>
      <c r="L13" s="39">
        <f t="shared" ca="1" si="6"/>
        <v>3171561703.2644672</v>
      </c>
      <c r="M13" s="39">
        <f t="shared" ca="1" si="6"/>
        <v>3277280426.7066164</v>
      </c>
      <c r="N13" s="39">
        <f t="shared" ca="1" si="6"/>
        <v>3171561703.2644672</v>
      </c>
      <c r="O13" s="39">
        <f t="shared" ca="1" si="6"/>
        <v>3277280426.7066164</v>
      </c>
      <c r="P13" s="39">
        <f t="shared" ca="1" si="4"/>
        <v>3277280426.7066164</v>
      </c>
      <c r="Q13" s="39">
        <f ca="1">IF(P55=0,0,P13/P55*Q55*IF(P56=0,1,Q56/P56))</f>
        <v>3539462860.8431454</v>
      </c>
      <c r="R13" s="39">
        <f t="shared" ref="R13:T13" ca="1" si="7">IF(Q55=0,0,Q13/Q55*R55*IF(Q56=0,1,R56/Q56))</f>
        <v>3822619889.7105966</v>
      </c>
      <c r="S13" s="39">
        <f t="shared" ca="1" si="7"/>
        <v>4128429480.887444</v>
      </c>
      <c r="T13" s="39">
        <f t="shared" ca="1" si="7"/>
        <v>4458703839.3584404</v>
      </c>
    </row>
    <row r="14" spans="1:20" ht="16.149999999999999" customHeight="1" x14ac:dyDescent="0.3">
      <c r="A14" s="116" t="s">
        <v>103</v>
      </c>
      <c r="B14" s="5" t="s">
        <v>104</v>
      </c>
      <c r="C14" s="39">
        <f ca="1">SUMIF(Assumptions!$A$76:$C$100,$A14,Assumptions!$C$76:$C$100)</f>
        <v>0</v>
      </c>
      <c r="D14" s="39">
        <f ca="1">C14-CashFlow!C16</f>
        <v>0</v>
      </c>
      <c r="E14" s="39">
        <f ca="1">D14-CashFlow!D16</f>
        <v>0</v>
      </c>
      <c r="F14" s="39">
        <f ca="1">E14-CashFlow!E16</f>
        <v>0</v>
      </c>
      <c r="G14" s="39">
        <f ca="1">F14-CashFlow!F16</f>
        <v>0</v>
      </c>
      <c r="H14" s="39">
        <f ca="1">G14-CashFlow!G16</f>
        <v>0</v>
      </c>
      <c r="I14" s="39">
        <f ca="1">H14-CashFlow!H16</f>
        <v>0</v>
      </c>
      <c r="J14" s="39">
        <f ca="1">I14-CashFlow!I16</f>
        <v>0</v>
      </c>
      <c r="K14" s="39">
        <f ca="1">J14-CashFlow!J16</f>
        <v>0</v>
      </c>
      <c r="L14" s="39">
        <f ca="1">K14-CashFlow!K16</f>
        <v>0</v>
      </c>
      <c r="M14" s="39">
        <f ca="1">L14-CashFlow!L16</f>
        <v>0</v>
      </c>
      <c r="N14" s="39">
        <f ca="1">M14-CashFlow!M16</f>
        <v>0</v>
      </c>
      <c r="O14" s="39">
        <f ca="1">N14-CashFlow!N16</f>
        <v>0</v>
      </c>
      <c r="P14" s="39">
        <f t="shared" ca="1" si="4"/>
        <v>0</v>
      </c>
      <c r="Q14" s="39">
        <f ca="1">P14-CashFlow!P16</f>
        <v>0</v>
      </c>
      <c r="R14" s="39">
        <f ca="1">Q14-CashFlow!Q16</f>
        <v>0</v>
      </c>
      <c r="S14" s="39">
        <f ca="1">R14-CashFlow!R16</f>
        <v>0</v>
      </c>
      <c r="T14" s="39">
        <f ca="1">S14-CashFlow!S16</f>
        <v>0</v>
      </c>
    </row>
    <row r="15" spans="1:20" ht="16.149999999999999" customHeight="1" x14ac:dyDescent="0.3">
      <c r="A15" s="116" t="s">
        <v>108</v>
      </c>
      <c r="B15" s="5" t="s">
        <v>109</v>
      </c>
      <c r="C15" s="39">
        <f ca="1">SUMIF(Assumptions!$A$76:$C$100,$A15,Assumptions!$C$76:$C$100)</f>
        <v>0</v>
      </c>
      <c r="D15" s="39">
        <f ca="1">C15-CashFlow!C17</f>
        <v>0</v>
      </c>
      <c r="E15" s="39">
        <f ca="1">D15-CashFlow!D17</f>
        <v>0</v>
      </c>
      <c r="F15" s="39">
        <f ca="1">E15-CashFlow!E17</f>
        <v>0</v>
      </c>
      <c r="G15" s="39">
        <f ca="1">F15-CashFlow!F17</f>
        <v>0</v>
      </c>
      <c r="H15" s="39">
        <f ca="1">G15-CashFlow!G17</f>
        <v>0</v>
      </c>
      <c r="I15" s="39">
        <f ca="1">H15-CashFlow!H17</f>
        <v>0</v>
      </c>
      <c r="J15" s="39">
        <f ca="1">I15-CashFlow!I17</f>
        <v>0</v>
      </c>
      <c r="K15" s="39">
        <f ca="1">J15-CashFlow!J17</f>
        <v>0</v>
      </c>
      <c r="L15" s="39">
        <f ca="1">K15-CashFlow!K17</f>
        <v>0</v>
      </c>
      <c r="M15" s="39">
        <f ca="1">L15-CashFlow!L17</f>
        <v>0</v>
      </c>
      <c r="N15" s="39">
        <f ca="1">M15-CashFlow!M17</f>
        <v>0</v>
      </c>
      <c r="O15" s="39">
        <f ca="1">N15-CashFlow!N17</f>
        <v>0</v>
      </c>
      <c r="P15" s="39">
        <f t="shared" ca="1" si="4"/>
        <v>0</v>
      </c>
      <c r="Q15" s="39">
        <f ca="1">P15-CashFlow!P17</f>
        <v>0</v>
      </c>
      <c r="R15" s="39">
        <f ca="1">Q15-CashFlow!Q17</f>
        <v>0</v>
      </c>
      <c r="S15" s="39">
        <f ca="1">R15-CashFlow!R17</f>
        <v>0</v>
      </c>
      <c r="T15" s="39">
        <f ca="1">S15-CashFlow!S17</f>
        <v>0</v>
      </c>
    </row>
    <row r="16" spans="1:20" ht="16.149999999999999" customHeight="1" x14ac:dyDescent="0.3">
      <c r="A16" s="116" t="s">
        <v>110</v>
      </c>
      <c r="B16" s="5" t="s">
        <v>111</v>
      </c>
      <c r="C16" s="39">
        <f ca="1">SUMIF(Assumptions!$A$76:$C$100,$A16,Assumptions!$C$76:$C$100)</f>
        <v>603749999.99999988</v>
      </c>
      <c r="D16" s="39">
        <f ca="1">IF(CashFlow!C46&gt;=0,CashFlow!C46,0)</f>
        <v>0</v>
      </c>
      <c r="E16" s="39">
        <f ca="1">IF(CashFlow!D46&gt;=0,CashFlow!D46,0)</f>
        <v>0</v>
      </c>
      <c r="F16" s="39">
        <f ca="1">IF(CashFlow!E46&gt;=0,CashFlow!E46,0)</f>
        <v>937835529.27497292</v>
      </c>
      <c r="G16" s="39">
        <f ca="1">IF(CashFlow!F46&gt;=0,CashFlow!F46,0)</f>
        <v>2456731956.9226046</v>
      </c>
      <c r="H16" s="39">
        <f ca="1">IF(CashFlow!G46&gt;=0,CashFlow!G46,0)</f>
        <v>3711630706.8513942</v>
      </c>
      <c r="I16" s="39">
        <f ca="1">IF(CashFlow!H46&gt;=0,CashFlow!H46,0)</f>
        <v>3215067223.111042</v>
      </c>
      <c r="J16" s="39">
        <f ca="1">IF(CashFlow!I46&gt;=0,CashFlow!I46,0)</f>
        <v>4601964811.8992529</v>
      </c>
      <c r="K16" s="39">
        <f ca="1">IF(CashFlow!J46&gt;=0,CashFlow!J46,0)</f>
        <v>5578403205.7237711</v>
      </c>
      <c r="L16" s="39">
        <f ca="1">IF(CashFlow!K46&gt;=0,CashFlow!K46,0)</f>
        <v>7375759989.4756746</v>
      </c>
      <c r="M16" s="39">
        <f ca="1">IF(CashFlow!L46&gt;=0,CashFlow!L46,0)</f>
        <v>8630658739.4044647</v>
      </c>
      <c r="N16" s="39">
        <f ca="1">IF(CashFlow!M46&gt;=0,CashFlow!M46,0)</f>
        <v>10149555167.052095</v>
      </c>
      <c r="O16" s="39">
        <f ca="1">IF(CashFlow!N46&gt;=0,CashFlow!N46,0)</f>
        <v>11404453916.980885</v>
      </c>
      <c r="P16" s="39">
        <f t="shared" ca="1" si="4"/>
        <v>11404453916.980885</v>
      </c>
      <c r="Q16" s="39">
        <f ca="1">IF(CashFlow!P46&gt;=0,CashFlow!P46,0)</f>
        <v>19346797919.526466</v>
      </c>
      <c r="R16" s="39">
        <f ca="1">IF(CashFlow!Q46&gt;=0,CashFlow!Q46,0)</f>
        <v>27656751291.743755</v>
      </c>
      <c r="S16" s="39">
        <f ca="1">IF(CashFlow!R46&gt;=0,CashFlow!R46,0)</f>
        <v>37154020510.454315</v>
      </c>
      <c r="T16" s="39">
        <f ca="1">IF(CashFlow!S46&gt;=0,CashFlow!S46,0)</f>
        <v>47304018175.346825</v>
      </c>
    </row>
    <row r="17" spans="1:42" ht="16.149999999999999" customHeight="1" thickBot="1" x14ac:dyDescent="0.35">
      <c r="C17" s="85">
        <f ca="1">SUM(C12:C16)</f>
        <v>603749999.99999988</v>
      </c>
      <c r="D17" s="85">
        <f t="shared" ref="D17:T17" ca="1" si="8">SUM(D12:D16)</f>
        <v>5106751895.086854</v>
      </c>
      <c r="E17" s="85">
        <f t="shared" ca="1" si="8"/>
        <v>5106751895.086854</v>
      </c>
      <c r="F17" s="85">
        <f t="shared" ca="1" si="8"/>
        <v>6214812487.5313892</v>
      </c>
      <c r="G17" s="85">
        <f t="shared" ca="1" si="8"/>
        <v>7563483852.0094585</v>
      </c>
      <c r="H17" s="85">
        <f t="shared" ca="1" si="8"/>
        <v>8988607665.107811</v>
      </c>
      <c r="I17" s="85">
        <f t="shared" ca="1" si="8"/>
        <v>8321819118.197896</v>
      </c>
      <c r="J17" s="85">
        <f t="shared" ca="1" si="8"/>
        <v>9708716706.9861069</v>
      </c>
      <c r="K17" s="85">
        <f t="shared" ca="1" si="8"/>
        <v>11218484302.485485</v>
      </c>
      <c r="L17" s="85">
        <f t="shared" ca="1" si="8"/>
        <v>12482511884.562529</v>
      </c>
      <c r="M17" s="85">
        <f t="shared" ca="1" si="8"/>
        <v>13907635697.660881</v>
      </c>
      <c r="N17" s="85">
        <f t="shared" ca="1" si="8"/>
        <v>15256307062.13895</v>
      </c>
      <c r="O17" s="85">
        <f t="shared" ca="1" si="8"/>
        <v>16681430875.237301</v>
      </c>
      <c r="P17" s="85">
        <f t="shared" ca="1" si="8"/>
        <v>16681430875.237301</v>
      </c>
      <c r="Q17" s="85">
        <f t="shared" ca="1" si="8"/>
        <v>24973943959.307602</v>
      </c>
      <c r="R17" s="85">
        <f t="shared" ca="1" si="8"/>
        <v>33734069014.707382</v>
      </c>
      <c r="S17" s="85">
        <f t="shared" ca="1" si="8"/>
        <v>43675539622.635834</v>
      </c>
      <c r="T17" s="85">
        <f t="shared" ca="1" si="8"/>
        <v>54347258816.502869</v>
      </c>
    </row>
    <row r="18" spans="1:42" s="2" customFormat="1" ht="16.149999999999999" customHeight="1" thickBot="1" x14ac:dyDescent="0.3">
      <c r="A18" s="117"/>
      <c r="B18" s="2" t="s">
        <v>238</v>
      </c>
      <c r="C18" s="86">
        <f ca="1">SUM(C10,C17)</f>
        <v>8497259995</v>
      </c>
      <c r="D18" s="86">
        <f t="shared" ref="D18:T18" ca="1" si="9">SUM(D10,D17)</f>
        <v>12642698140.086853</v>
      </c>
      <c r="E18" s="86">
        <f t="shared" ca="1" si="9"/>
        <v>12285134390.086853</v>
      </c>
      <c r="F18" s="86">
        <f t="shared" ca="1" si="9"/>
        <v>13035631232.531389</v>
      </c>
      <c r="G18" s="86">
        <f t="shared" ca="1" si="9"/>
        <v>14026738847.009459</v>
      </c>
      <c r="H18" s="86">
        <f t="shared" ca="1" si="9"/>
        <v>15094298910.107811</v>
      </c>
      <c r="I18" s="86">
        <f t="shared" ca="1" si="9"/>
        <v>14069946613.197895</v>
      </c>
      <c r="J18" s="86">
        <f t="shared" ca="1" si="9"/>
        <v>15099280451.986107</v>
      </c>
      <c r="K18" s="86">
        <f t="shared" ca="1" si="9"/>
        <v>16251484297.485485</v>
      </c>
      <c r="L18" s="86">
        <f t="shared" ca="1" si="9"/>
        <v>17157948129.562529</v>
      </c>
      <c r="M18" s="86">
        <f t="shared" ca="1" si="9"/>
        <v>18225508192.660881</v>
      </c>
      <c r="N18" s="86">
        <f t="shared" ca="1" si="9"/>
        <v>19216615807.13895</v>
      </c>
      <c r="O18" s="86">
        <f t="shared" ca="1" si="9"/>
        <v>20003330245.237301</v>
      </c>
      <c r="P18" s="86">
        <f t="shared" ca="1" si="9"/>
        <v>20003330245.237301</v>
      </c>
      <c r="Q18" s="86">
        <f t="shared" ca="1" si="9"/>
        <v>28014997704.307602</v>
      </c>
      <c r="R18" s="86">
        <f t="shared" ca="1" si="9"/>
        <v>36494277134.707382</v>
      </c>
      <c r="S18" s="86">
        <f t="shared" ca="1" si="9"/>
        <v>46154902117.635834</v>
      </c>
      <c r="T18" s="86">
        <f t="shared" ca="1" si="9"/>
        <v>56545775686.502869</v>
      </c>
    </row>
    <row r="19" spans="1:42" ht="16.149999999999999" customHeight="1" thickTop="1" x14ac:dyDescent="0.3">
      <c r="A19" s="121"/>
      <c r="B19" s="2" t="s">
        <v>140</v>
      </c>
      <c r="C19" s="39"/>
      <c r="D19" s="39"/>
      <c r="E19" s="39"/>
      <c r="F19" s="39"/>
      <c r="G19" s="39"/>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row>
    <row r="20" spans="1:42" ht="16.149999999999999" customHeight="1" x14ac:dyDescent="0.3">
      <c r="A20" s="121"/>
      <c r="B20" s="2" t="s">
        <v>141</v>
      </c>
      <c r="C20" s="39"/>
      <c r="D20" s="39"/>
      <c r="E20" s="39"/>
      <c r="F20" s="39"/>
      <c r="G20" s="39"/>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row>
    <row r="21" spans="1:42" ht="16.149999999999999" customHeight="1" x14ac:dyDescent="0.3">
      <c r="A21" s="121" t="s">
        <v>112</v>
      </c>
      <c r="B21" s="5" t="s">
        <v>0</v>
      </c>
      <c r="C21" s="39">
        <f ca="1">-SUMIF(Assumptions!$A$76:$C$100,$A21,Assumptions!$C$76:$C$100)</f>
        <v>1299451999</v>
      </c>
      <c r="D21" s="39">
        <f ca="1">C21+CashFlow!C33</f>
        <v>1299451999</v>
      </c>
      <c r="E21" s="39">
        <f ca="1">D21+CashFlow!D33</f>
        <v>1299451999</v>
      </c>
      <c r="F21" s="39">
        <f ca="1">E21+CashFlow!E33</f>
        <v>1299451999</v>
      </c>
      <c r="G21" s="39">
        <f ca="1">F21+CashFlow!F33</f>
        <v>1299451999</v>
      </c>
      <c r="H21" s="39">
        <f ca="1">G21+CashFlow!G33</f>
        <v>1299451999</v>
      </c>
      <c r="I21" s="39">
        <f ca="1">H21+CashFlow!H33</f>
        <v>1299451999</v>
      </c>
      <c r="J21" s="39">
        <f ca="1">I21+CashFlow!I33</f>
        <v>1299451999</v>
      </c>
      <c r="K21" s="39">
        <f ca="1">J21+CashFlow!J33</f>
        <v>1299451999</v>
      </c>
      <c r="L21" s="39">
        <f ca="1">K21+CashFlow!K33</f>
        <v>1299451999</v>
      </c>
      <c r="M21" s="39">
        <f ca="1">L21+CashFlow!L33</f>
        <v>1299451999</v>
      </c>
      <c r="N21" s="39">
        <f ca="1">M21+CashFlow!M33</f>
        <v>1299451999</v>
      </c>
      <c r="O21" s="39">
        <f ca="1">N21+CashFlow!N33</f>
        <v>1299451999</v>
      </c>
      <c r="P21" s="39">
        <f t="shared" ref="P21:P23" ca="1" si="10">O21</f>
        <v>1299451999</v>
      </c>
      <c r="Q21" s="39">
        <f ca="1">P21+CashFlow!P33</f>
        <v>1299451999</v>
      </c>
      <c r="R21" s="39">
        <f ca="1">Q21+CashFlow!Q33</f>
        <v>1299451999</v>
      </c>
      <c r="S21" s="39">
        <f ca="1">R21+CashFlow!R33</f>
        <v>1299451999</v>
      </c>
      <c r="T21" s="39">
        <f ca="1">S21+CashFlow!S33</f>
        <v>1299451999</v>
      </c>
    </row>
    <row r="22" spans="1:42" ht="16.149999999999999" customHeight="1" x14ac:dyDescent="0.3">
      <c r="A22" s="121" t="s">
        <v>113</v>
      </c>
      <c r="B22" s="5" t="s">
        <v>114</v>
      </c>
      <c r="C22" s="39">
        <f ca="1">-SUMIF(Assumptions!$A$76:$C$100,$A22,Assumptions!$C$76:$C$100)</f>
        <v>0</v>
      </c>
      <c r="D22" s="39">
        <f ca="1">C22+CashFlow!C12</f>
        <v>0</v>
      </c>
      <c r="E22" s="39">
        <f ca="1">D22+CashFlow!D12</f>
        <v>0</v>
      </c>
      <c r="F22" s="39">
        <f ca="1">E22+CashFlow!E12</f>
        <v>0</v>
      </c>
      <c r="G22" s="39">
        <f ca="1">F22+CashFlow!F12</f>
        <v>0</v>
      </c>
      <c r="H22" s="39">
        <f ca="1">G22+CashFlow!G12</f>
        <v>0</v>
      </c>
      <c r="I22" s="39">
        <f ca="1">H22+CashFlow!H12</f>
        <v>0</v>
      </c>
      <c r="J22" s="39">
        <f ca="1">I22+CashFlow!I12</f>
        <v>0</v>
      </c>
      <c r="K22" s="39">
        <f ca="1">J22+CashFlow!J12</f>
        <v>0</v>
      </c>
      <c r="L22" s="39">
        <f ca="1">K22+CashFlow!K12</f>
        <v>0</v>
      </c>
      <c r="M22" s="39">
        <f ca="1">L22+CashFlow!L12</f>
        <v>0</v>
      </c>
      <c r="N22" s="39">
        <f ca="1">M22+CashFlow!M12</f>
        <v>0</v>
      </c>
      <c r="O22" s="39">
        <f ca="1">N22+CashFlow!N12</f>
        <v>0</v>
      </c>
      <c r="P22" s="39">
        <f t="shared" ca="1" si="10"/>
        <v>0</v>
      </c>
      <c r="Q22" s="39">
        <f ca="1">P22+CashFlow!P12</f>
        <v>0</v>
      </c>
      <c r="R22" s="39">
        <f ca="1">Q22+CashFlow!Q12</f>
        <v>0</v>
      </c>
      <c r="S22" s="39">
        <f ca="1">R22+CashFlow!R12</f>
        <v>0</v>
      </c>
      <c r="T22" s="39">
        <f ca="1">S22+CashFlow!S12</f>
        <v>0</v>
      </c>
    </row>
    <row r="23" spans="1:42" ht="16.149999999999999" customHeight="1" x14ac:dyDescent="0.3">
      <c r="A23" s="121" t="s">
        <v>115</v>
      </c>
      <c r="B23" s="5" t="s">
        <v>35</v>
      </c>
      <c r="C23" s="39">
        <f ca="1">-SUMIF(Assumptions!$A$76:$C$100,$A23,Assumptions!$C$76:$C$100)</f>
        <v>0</v>
      </c>
      <c r="D23" s="39">
        <f ca="1">C23+IncState!C61</f>
        <v>782226915.56884015</v>
      </c>
      <c r="E23" s="39">
        <f ca="1">D23+IncState!D61</f>
        <v>1565070763.4218512</v>
      </c>
      <c r="F23" s="39">
        <f ca="1">E23+IncState!E61</f>
        <v>2348537712.881875</v>
      </c>
      <c r="G23" s="39">
        <f ca="1">F23+IncState!F61</f>
        <v>3132633994.9649816</v>
      </c>
      <c r="H23" s="39">
        <f ca="1">G23+IncState!G61</f>
        <v>3917365902.9974017</v>
      </c>
      <c r="I23" s="39">
        <f ca="1">H23+IncState!H61</f>
        <v>4702739793.2386284</v>
      </c>
      <c r="J23" s="39">
        <f ca="1">I23+IncState!I61</f>
        <v>5488762085.5107498</v>
      </c>
      <c r="K23" s="39">
        <f ca="1">J23+IncState!J61</f>
        <v>6275439263.834075</v>
      </c>
      <c r="L23" s="39">
        <f ca="1">K23+IncState!K61</f>
        <v>7062777877.0691166</v>
      </c>
      <c r="M23" s="39">
        <f ca="1">L23+IncState!L61</f>
        <v>7850784539.564991</v>
      </c>
      <c r="N23" s="39">
        <f ca="1">M23+IncState!M61</f>
        <v>8639465931.8143063</v>
      </c>
      <c r="O23" s="39">
        <f ca="1">N23+IncState!N61</f>
        <v>7293467122.2555313</v>
      </c>
      <c r="P23" s="39">
        <f t="shared" ca="1" si="10"/>
        <v>7293467122.2555313</v>
      </c>
      <c r="Q23" s="39">
        <f ca="1">P23+IncState!P61</f>
        <v>15793568862.179016</v>
      </c>
      <c r="R23" s="39">
        <f ca="1">Q23+IncState!Q61</f>
        <v>25123931417.656471</v>
      </c>
      <c r="S23" s="39">
        <f ca="1">R23+IncState!R61</f>
        <v>35634930791.521393</v>
      </c>
      <c r="T23" s="39">
        <f ca="1">S23+IncState!S61</f>
        <v>47148358392.920074</v>
      </c>
    </row>
    <row r="24" spans="1:42" ht="16.149999999999999" customHeight="1" thickBot="1" x14ac:dyDescent="0.35">
      <c r="C24" s="85">
        <f ca="1">SUM(C21:C23)</f>
        <v>1299451999</v>
      </c>
      <c r="D24" s="85">
        <f t="shared" ref="D24:T24" ca="1" si="11">SUM(D21:D23)</f>
        <v>2081678914.56884</v>
      </c>
      <c r="E24" s="85">
        <f t="shared" ca="1" si="11"/>
        <v>2864522762.4218512</v>
      </c>
      <c r="F24" s="85">
        <f t="shared" ca="1" si="11"/>
        <v>3647989711.881875</v>
      </c>
      <c r="G24" s="85">
        <f t="shared" ca="1" si="11"/>
        <v>4432085993.9649811</v>
      </c>
      <c r="H24" s="85">
        <f t="shared" ca="1" si="11"/>
        <v>5216817901.9974022</v>
      </c>
      <c r="I24" s="85">
        <f t="shared" ca="1" si="11"/>
        <v>6002191792.2386284</v>
      </c>
      <c r="J24" s="85">
        <f t="shared" ca="1" si="11"/>
        <v>6788214084.5107498</v>
      </c>
      <c r="K24" s="85">
        <f t="shared" ca="1" si="11"/>
        <v>7574891262.834075</v>
      </c>
      <c r="L24" s="85">
        <f t="shared" ca="1" si="11"/>
        <v>8362229876.0691166</v>
      </c>
      <c r="M24" s="85">
        <f t="shared" ca="1" si="11"/>
        <v>9150236538.564991</v>
      </c>
      <c r="N24" s="85">
        <f t="shared" ca="1" si="11"/>
        <v>9938917930.8143063</v>
      </c>
      <c r="O24" s="85">
        <f t="shared" ca="1" si="11"/>
        <v>8592919121.2555313</v>
      </c>
      <c r="P24" s="85">
        <f t="shared" ca="1" si="11"/>
        <v>8592919121.2555313</v>
      </c>
      <c r="Q24" s="85">
        <f t="shared" ca="1" si="11"/>
        <v>17093020861.179016</v>
      </c>
      <c r="R24" s="85">
        <f t="shared" ca="1" si="11"/>
        <v>26423383416.656471</v>
      </c>
      <c r="S24" s="85">
        <f t="shared" ca="1" si="11"/>
        <v>36934382790.521393</v>
      </c>
      <c r="T24" s="85">
        <f t="shared" ca="1" si="11"/>
        <v>48447810391.920074</v>
      </c>
    </row>
    <row r="25" spans="1:42" s="2" customFormat="1" ht="16.149999999999999" customHeight="1" x14ac:dyDescent="0.25">
      <c r="A25" s="117"/>
      <c r="B25" s="2" t="s">
        <v>142</v>
      </c>
      <c r="C25" s="40"/>
      <c r="D25" s="40"/>
      <c r="E25" s="40"/>
      <c r="F25" s="40"/>
      <c r="G25" s="40"/>
      <c r="H25" s="40"/>
      <c r="I25" s="40"/>
      <c r="J25" s="40"/>
      <c r="K25" s="40"/>
      <c r="L25" s="40"/>
      <c r="M25" s="40"/>
      <c r="N25" s="40"/>
      <c r="O25" s="40"/>
      <c r="P25" s="40"/>
      <c r="Q25" s="40"/>
      <c r="R25" s="40"/>
      <c r="S25" s="40"/>
      <c r="T25" s="40"/>
    </row>
    <row r="26" spans="1:42" ht="16.149999999999999" customHeight="1" x14ac:dyDescent="0.3">
      <c r="A26" s="121" t="s">
        <v>116</v>
      </c>
      <c r="B26" s="5" t="s">
        <v>117</v>
      </c>
      <c r="C26" s="39">
        <f ca="1">-SUMIF(Assumptions!$A$76:$C$100,$A26,Assumptions!$C$76:$C$100)</f>
        <v>7197807996</v>
      </c>
      <c r="D26" s="39">
        <f ca="1">C26+CashFlow!C39+CashFlow!C35</f>
        <v>7109674812.5470104</v>
      </c>
      <c r="E26" s="39">
        <f ca="1">D26+CashFlow!D39+CashFlow!D35</f>
        <v>7020660297.259491</v>
      </c>
      <c r="F26" s="39">
        <f ca="1">E26+CashFlow!E39+CashFlow!E35</f>
        <v>6930755636.8190966</v>
      </c>
      <c r="G26" s="39">
        <f ca="1">F26+CashFlow!F39+CashFlow!F35</f>
        <v>6839951929.7742977</v>
      </c>
      <c r="H26" s="39">
        <f ca="1">G26+CashFlow!G39+CashFlow!G35</f>
        <v>6748240185.6590509</v>
      </c>
      <c r="I26" s="39">
        <f ca="1">H26+CashFlow!H39+CashFlow!H35</f>
        <v>6655611324.1026516</v>
      </c>
      <c r="J26" s="39">
        <f ca="1">I26+CashFlow!I39+CashFlow!I35</f>
        <v>6562056173.9306889</v>
      </c>
      <c r="K26" s="39">
        <f ca="1">J26+CashFlow!J39+CashFlow!J35</f>
        <v>6467565472.2570057</v>
      </c>
      <c r="L26" s="39">
        <f ca="1">K26+CashFlow!K39+CashFlow!K35</f>
        <v>6372129863.5665865</v>
      </c>
      <c r="M26" s="39">
        <f ca="1">L26+CashFlow!L39+CashFlow!L35</f>
        <v>6275739898.7892628</v>
      </c>
      <c r="N26" s="39">
        <f ca="1">M26+CashFlow!M39+CashFlow!M35</f>
        <v>6178386034.3641653</v>
      </c>
      <c r="O26" s="39">
        <f ca="1">N26+CashFlow!N39+CashFlow!N35</f>
        <v>6080058631.294817</v>
      </c>
      <c r="P26" s="39">
        <f t="shared" ref="P26:P29" ca="1" si="12">O26</f>
        <v>6080058631.294817</v>
      </c>
      <c r="Q26" s="39">
        <f ca="1">ROUND(P26+CashFlow!P39+CashFlow!P35,2)</f>
        <v>4820550669.7299995</v>
      </c>
      <c r="R26" s="39">
        <f ca="1">ROUND(Q26+CashFlow!Q39+CashFlow!Q35,2)</f>
        <v>3401305572.9899998</v>
      </c>
      <c r="S26" s="39">
        <f ca="1">ROUND(R26+CashFlow!R39+CashFlow!R35,2)</f>
        <v>1802064674.0899999</v>
      </c>
      <c r="T26" s="39">
        <f ca="1">ROUND(S26+CashFlow!S39+CashFlow!S35,2)</f>
        <v>0</v>
      </c>
    </row>
    <row r="27" spans="1:42" ht="16.149999999999999" customHeight="1" x14ac:dyDescent="0.3">
      <c r="A27" s="121" t="s">
        <v>118</v>
      </c>
      <c r="B27" s="5" t="s">
        <v>119</v>
      </c>
      <c r="C27" s="39">
        <f ca="1">-SUMIF(Assumptions!$A$76:$C$100,$A27,Assumptions!$C$76:$C$100)</f>
        <v>0</v>
      </c>
      <c r="D27" s="39">
        <f ca="1">C27+CashFlow!C40+CashFlow!C36</f>
        <v>0</v>
      </c>
      <c r="E27" s="39">
        <f ca="1">D27+CashFlow!D40+CashFlow!D36</f>
        <v>0</v>
      </c>
      <c r="F27" s="39">
        <f ca="1">E27+CashFlow!E40+CashFlow!E36</f>
        <v>0</v>
      </c>
      <c r="G27" s="39">
        <f ca="1">F27+CashFlow!F40+CashFlow!F36</f>
        <v>0</v>
      </c>
      <c r="H27" s="39">
        <f ca="1">G27+CashFlow!G40+CashFlow!G36</f>
        <v>0</v>
      </c>
      <c r="I27" s="39">
        <f ca="1">H27+CashFlow!H40+CashFlow!H36</f>
        <v>0</v>
      </c>
      <c r="J27" s="39">
        <f ca="1">I27+CashFlow!I40+CashFlow!I36</f>
        <v>0</v>
      </c>
      <c r="K27" s="39">
        <f ca="1">J27+CashFlow!J40+CashFlow!J36</f>
        <v>0</v>
      </c>
      <c r="L27" s="39">
        <f ca="1">K27+CashFlow!K40+CashFlow!K36</f>
        <v>0</v>
      </c>
      <c r="M27" s="39">
        <f ca="1">L27+CashFlow!L40+CashFlow!L36</f>
        <v>0</v>
      </c>
      <c r="N27" s="39">
        <f ca="1">M27+CashFlow!M40+CashFlow!M36</f>
        <v>0</v>
      </c>
      <c r="O27" s="39">
        <f ca="1">N27+CashFlow!N40+CashFlow!N36</f>
        <v>0</v>
      </c>
      <c r="P27" s="39">
        <f t="shared" ca="1" si="12"/>
        <v>0</v>
      </c>
      <c r="Q27" s="39">
        <f ca="1">ROUND(P27+CashFlow!P40+CashFlow!P36,2)</f>
        <v>0</v>
      </c>
      <c r="R27" s="39">
        <f ca="1">ROUND(Q27+CashFlow!Q40+CashFlow!Q36,2)</f>
        <v>0</v>
      </c>
      <c r="S27" s="39">
        <f ca="1">ROUND(R27+CashFlow!R40+CashFlow!R36,2)</f>
        <v>0</v>
      </c>
      <c r="T27" s="39">
        <f ca="1">ROUND(S27+CashFlow!S40+CashFlow!S36,2)</f>
        <v>0</v>
      </c>
    </row>
    <row r="28" spans="1:42" ht="16.149999999999999" customHeight="1" x14ac:dyDescent="0.3">
      <c r="A28" s="121" t="s">
        <v>120</v>
      </c>
      <c r="B28" s="5" t="s">
        <v>121</v>
      </c>
      <c r="C28" s="39">
        <f ca="1">-SUMIF(Assumptions!$A$76:$C$100,$A28,Assumptions!$C$76:$C$100)</f>
        <v>0</v>
      </c>
      <c r="D28" s="39">
        <f ca="1">C28+CashFlow!C41+CashFlow!C37</f>
        <v>0</v>
      </c>
      <c r="E28" s="39">
        <f ca="1">D28+CashFlow!D41+CashFlow!D37</f>
        <v>0</v>
      </c>
      <c r="F28" s="39">
        <f ca="1">E28+CashFlow!E41+CashFlow!E37</f>
        <v>0</v>
      </c>
      <c r="G28" s="39">
        <f ca="1">F28+CashFlow!F41+CashFlow!F37</f>
        <v>0</v>
      </c>
      <c r="H28" s="39">
        <f ca="1">G28+CashFlow!G41+CashFlow!G37</f>
        <v>0</v>
      </c>
      <c r="I28" s="39">
        <f ca="1">H28+CashFlow!H41+CashFlow!H37</f>
        <v>0</v>
      </c>
      <c r="J28" s="39">
        <f ca="1">I28+CashFlow!I41+CashFlow!I37</f>
        <v>0</v>
      </c>
      <c r="K28" s="39">
        <f ca="1">J28+CashFlow!J41+CashFlow!J37</f>
        <v>0</v>
      </c>
      <c r="L28" s="39">
        <f ca="1">K28+CashFlow!K41+CashFlow!K37</f>
        <v>0</v>
      </c>
      <c r="M28" s="39">
        <f ca="1">L28+CashFlow!L41+CashFlow!L37</f>
        <v>0</v>
      </c>
      <c r="N28" s="39">
        <f ca="1">M28+CashFlow!M41+CashFlow!M37</f>
        <v>0</v>
      </c>
      <c r="O28" s="39">
        <f ca="1">N28+CashFlow!N41+CashFlow!N37</f>
        <v>0</v>
      </c>
      <c r="P28" s="39">
        <f t="shared" ca="1" si="12"/>
        <v>0</v>
      </c>
      <c r="Q28" s="39">
        <f ca="1">ROUND(P28+CashFlow!P41+CashFlow!P37,2)</f>
        <v>0</v>
      </c>
      <c r="R28" s="39">
        <f ca="1">ROUND(Q28+CashFlow!Q41+CashFlow!Q37,2)</f>
        <v>0</v>
      </c>
      <c r="S28" s="39">
        <f ca="1">ROUND(R28+CashFlow!R41+CashFlow!R37,2)</f>
        <v>0</v>
      </c>
      <c r="T28" s="39">
        <f ca="1">ROUND(S28+CashFlow!S41+CashFlow!S37,2)</f>
        <v>0</v>
      </c>
    </row>
    <row r="29" spans="1:42" ht="16.149999999999999" customHeight="1" x14ac:dyDescent="0.3">
      <c r="A29" s="121" t="s">
        <v>122</v>
      </c>
      <c r="B29" s="5" t="s">
        <v>123</v>
      </c>
      <c r="C29" s="39">
        <f ca="1">-SUMIF(Assumptions!$A$76:$C$100,$A29,Assumptions!$C$76:$C$100)</f>
        <v>0</v>
      </c>
      <c r="D29" s="39">
        <f ca="1">C29+CashFlow!C42+CashFlow!C38</f>
        <v>0</v>
      </c>
      <c r="E29" s="39">
        <f ca="1">D29+CashFlow!D42+CashFlow!D38</f>
        <v>0</v>
      </c>
      <c r="F29" s="39">
        <f ca="1">E29+CashFlow!E42+CashFlow!E38</f>
        <v>0</v>
      </c>
      <c r="G29" s="39">
        <f ca="1">F29+CashFlow!F42+CashFlow!F38</f>
        <v>0</v>
      </c>
      <c r="H29" s="39">
        <f ca="1">G29+CashFlow!G42+CashFlow!G38</f>
        <v>0</v>
      </c>
      <c r="I29" s="39">
        <f ca="1">H29+CashFlow!H42+CashFlow!H38</f>
        <v>0</v>
      </c>
      <c r="J29" s="39">
        <f ca="1">I29+CashFlow!I42+CashFlow!I38</f>
        <v>0</v>
      </c>
      <c r="K29" s="39">
        <f ca="1">J29+CashFlow!J42+CashFlow!J38</f>
        <v>0</v>
      </c>
      <c r="L29" s="39">
        <f ca="1">K29+CashFlow!K42+CashFlow!K38</f>
        <v>0</v>
      </c>
      <c r="M29" s="39">
        <f ca="1">L29+CashFlow!L42+CashFlow!L38</f>
        <v>0</v>
      </c>
      <c r="N29" s="39">
        <f ca="1">M29+CashFlow!M42+CashFlow!M38</f>
        <v>0</v>
      </c>
      <c r="O29" s="39">
        <f ca="1">N29+CashFlow!N42+CashFlow!N38</f>
        <v>0</v>
      </c>
      <c r="P29" s="39">
        <f t="shared" ca="1" si="12"/>
        <v>0</v>
      </c>
      <c r="Q29" s="39">
        <f ca="1">ROUND(P29+CashFlow!P42+CashFlow!P38,2)</f>
        <v>0</v>
      </c>
      <c r="R29" s="39">
        <f ca="1">ROUND(Q29+CashFlow!Q42+CashFlow!Q38,2)</f>
        <v>0</v>
      </c>
      <c r="S29" s="39">
        <f ca="1">ROUND(R29+CashFlow!R42+CashFlow!R38,2)</f>
        <v>0</v>
      </c>
      <c r="T29" s="39">
        <f ca="1">ROUND(S29+CashFlow!S42+CashFlow!S38,2)</f>
        <v>0</v>
      </c>
    </row>
    <row r="30" spans="1:42" ht="16.149999999999999" customHeight="1" thickBot="1" x14ac:dyDescent="0.35">
      <c r="C30" s="85">
        <f ca="1">SUM(C26:C29)</f>
        <v>7197807996</v>
      </c>
      <c r="D30" s="85">
        <f t="shared" ref="D30:T30" ca="1" si="13">SUM(D26:D29)</f>
        <v>7109674812.5470104</v>
      </c>
      <c r="E30" s="85">
        <f t="shared" ca="1" si="13"/>
        <v>7020660297.259491</v>
      </c>
      <c r="F30" s="85">
        <f t="shared" ca="1" si="13"/>
        <v>6930755636.8190966</v>
      </c>
      <c r="G30" s="85">
        <f t="shared" ca="1" si="13"/>
        <v>6839951929.7742977</v>
      </c>
      <c r="H30" s="85">
        <f t="shared" ca="1" si="13"/>
        <v>6748240185.6590509</v>
      </c>
      <c r="I30" s="85">
        <f t="shared" ca="1" si="13"/>
        <v>6655611324.1026516</v>
      </c>
      <c r="J30" s="85">
        <f t="shared" ca="1" si="13"/>
        <v>6562056173.9306889</v>
      </c>
      <c r="K30" s="85">
        <f t="shared" ca="1" si="13"/>
        <v>6467565472.2570057</v>
      </c>
      <c r="L30" s="85">
        <f t="shared" ca="1" si="13"/>
        <v>6372129863.5665865</v>
      </c>
      <c r="M30" s="85">
        <f t="shared" ca="1" si="13"/>
        <v>6275739898.7892628</v>
      </c>
      <c r="N30" s="85">
        <f t="shared" ca="1" si="13"/>
        <v>6178386034.3641653</v>
      </c>
      <c r="O30" s="85">
        <f t="shared" ca="1" si="13"/>
        <v>6080058631.294817</v>
      </c>
      <c r="P30" s="85">
        <f t="shared" ca="1" si="13"/>
        <v>6080058631.294817</v>
      </c>
      <c r="Q30" s="85">
        <f t="shared" ca="1" si="13"/>
        <v>4820550669.7299995</v>
      </c>
      <c r="R30" s="85">
        <f t="shared" ca="1" si="13"/>
        <v>3401305572.9899998</v>
      </c>
      <c r="S30" s="85">
        <f t="shared" ca="1" si="13"/>
        <v>1802064674.0899999</v>
      </c>
      <c r="T30" s="85">
        <f t="shared" ca="1" si="13"/>
        <v>0</v>
      </c>
    </row>
    <row r="31" spans="1:42" s="2" customFormat="1" ht="16.149999999999999" customHeight="1" x14ac:dyDescent="0.25">
      <c r="A31" s="117"/>
      <c r="B31" s="2" t="s">
        <v>36</v>
      </c>
      <c r="C31" s="40"/>
      <c r="D31" s="40"/>
      <c r="E31" s="40"/>
      <c r="F31" s="40"/>
      <c r="G31" s="40"/>
      <c r="H31" s="52"/>
      <c r="I31" s="52"/>
      <c r="J31" s="52"/>
      <c r="K31" s="52"/>
      <c r="L31" s="52"/>
      <c r="M31" s="52"/>
      <c r="N31" s="52"/>
      <c r="O31" s="52"/>
      <c r="P31" s="52"/>
      <c r="Q31" s="52"/>
      <c r="R31" s="52"/>
      <c r="S31" s="52"/>
      <c r="T31" s="52"/>
    </row>
    <row r="32" spans="1:42" ht="16.149999999999999" customHeight="1" x14ac:dyDescent="0.3">
      <c r="A32" s="116" t="s">
        <v>124</v>
      </c>
      <c r="B32" s="5" t="s">
        <v>125</v>
      </c>
      <c r="C32" s="39">
        <f ca="1">-SUMIF(Assumptions!$A$76:$C$100,$A32,Assumptions!$C$76:$C$100)</f>
        <v>0</v>
      </c>
      <c r="D32" s="87">
        <f ca="1">IF(CashFlow!C46&lt;0,-CashFlow!C46,0)</f>
        <v>1703960809.4420271</v>
      </c>
      <c r="E32" s="87">
        <f ca="1">IF(CashFlow!D46&lt;0,-CashFlow!D46,0)</f>
        <v>317063220.6538167</v>
      </c>
      <c r="F32" s="87">
        <f ca="1">IF(CashFlow!E46&lt;0,-CashFlow!E46,0)</f>
        <v>0</v>
      </c>
      <c r="G32" s="87">
        <f ca="1">IF(CashFlow!F46&lt;0,-CashFlow!F46,0)</f>
        <v>0</v>
      </c>
      <c r="H32" s="87">
        <f ca="1">IF(CashFlow!G46&lt;0,-CashFlow!G46,0)</f>
        <v>0</v>
      </c>
      <c r="I32" s="87">
        <f ca="1">IF(CashFlow!H46&lt;0,-CashFlow!H46,0)</f>
        <v>0</v>
      </c>
      <c r="J32" s="87">
        <f ca="1">IF(CashFlow!I46&lt;0,-CashFlow!I46,0)</f>
        <v>0</v>
      </c>
      <c r="K32" s="87">
        <f ca="1">IF(CashFlow!J46&lt;0,-CashFlow!J46,0)</f>
        <v>0</v>
      </c>
      <c r="L32" s="87">
        <f ca="1">IF(CashFlow!K46&lt;0,-CashFlow!K46,0)</f>
        <v>0</v>
      </c>
      <c r="M32" s="87">
        <f ca="1">IF(CashFlow!L46&lt;0,-CashFlow!L46,0)</f>
        <v>0</v>
      </c>
      <c r="N32" s="87">
        <f ca="1">IF(CashFlow!M46&lt;0,-CashFlow!M46,0)</f>
        <v>0</v>
      </c>
      <c r="O32" s="87">
        <f ca="1">IF(CashFlow!N46&lt;0,-CashFlow!N46,0)</f>
        <v>0</v>
      </c>
      <c r="P32" s="39">
        <f t="shared" ref="P32:P39" ca="1" si="14">O32</f>
        <v>0</v>
      </c>
      <c r="Q32" s="39">
        <f ca="1">IF(CashFlow!P46&lt;0,-CashFlow!P46,0)</f>
        <v>0</v>
      </c>
      <c r="R32" s="39">
        <f ca="1">IF(CashFlow!Q46&lt;0,-CashFlow!Q46,0)</f>
        <v>0</v>
      </c>
      <c r="S32" s="39">
        <f ca="1">IF(CashFlow!R46&lt;0,-CashFlow!R46,0)</f>
        <v>0</v>
      </c>
      <c r="T32" s="39">
        <f ca="1">IF(CashFlow!S46&lt;0,-CashFlow!S46,0)</f>
        <v>0</v>
      </c>
    </row>
    <row r="33" spans="1:20" ht="16.149999999999999" customHeight="1" x14ac:dyDescent="0.3">
      <c r="A33" s="116" t="s">
        <v>126</v>
      </c>
      <c r="B33" s="5" t="s">
        <v>127</v>
      </c>
      <c r="C33" s="39">
        <f ca="1">-SUMIF(Assumptions!$A$76:$C$100,$A33,Assumptions!$C$76:$C$100)</f>
        <v>0</v>
      </c>
      <c r="D33" s="87">
        <f ca="1">(IF(COLUMN(D$4)-MATCH(MAX(DATE(YEAR(D$4-D$57),MONTH(D$4-D$57)+1,0),DATE(YEAR($D$4),MONTH($D$4),0)),$A$4:$AP$4,0)=0,0,SUM(OFFSET($A$58,0,MATCH(MAX(DATE(YEAR(D$4-D$57),MONTH(D$4-D$57)+1,0),DATE(YEAR($D$4),MONTH($D$4),0)),$A$4:$AP$4,0),1,COLUMN(D$4)-MATCH(MAX(DATE(YEAR(D$4-D$57),MONTH(D$4-D$57)+1,0),DATE(YEAR($D$4),MONTH($D$4),0)),$A$4:$AP$4,0))))+IF(ISNA(MATCH(DATE(YEAR(D$4-D$57),MONTH(D$4-D$57)+1,0),$A$4:$AP$4,0)),0,IF(DATE(YEAR(D$4-D$57),MONTH(D$4-D$57)+1,0)&lt;=$C$4,0,OFFSET($A$58,0,MATCH(DATE(YEAR(D$4-D$57),MONTH(D$4-D$57)+1,0),$A$4:$AP$4,0)-1,1,1)/OFFSET($A$43,0,MATCH(DATE(YEAR(D$4-D$57),MONTH(D$4-D$57)+1,0),$A$4:$AP$4,0)-1,1,1)*IF((D$4-D$57)&gt;DATE(YEAR($D$4),MONTH($D$4),0),(D$57-(D$4-DATE(YEAR(D$4-D$57),MONTH(D$4-D$57)+1,0))),0)))+IF(C$57=0,0,($C$33/$C$57*IF(DATE(YEAR($D$4),MONTH($D$4),0)&gt;(D$4-D$57),DATE(YEAR($D$4),MONTH($D$4),0)-(D$4-D$57),0))))</f>
        <v>1146786729.3042405</v>
      </c>
      <c r="E33" s="87">
        <f t="shared" ref="E33:O33" ca="1" si="15">(IF(COLUMN(E$4)-MATCH(MAX(DATE(YEAR(E$4-E$57),MONTH(E$4-E$57)+1,0),DATE(YEAR($D$4),MONTH($D$4),0)),$A$4:$AP$4,0)=0,0,SUM(OFFSET($A$58,0,MATCH(MAX(DATE(YEAR(E$4-E$57),MONTH(E$4-E$57)+1,0),DATE(YEAR($D$4),MONTH($D$4),0)),$A$4:$AP$4,0),1,COLUMN(E$4)-MATCH(MAX(DATE(YEAR(E$4-E$57),MONTH(E$4-E$57)+1,0),DATE(YEAR($D$4),MONTH($D$4),0)),$A$4:$AP$4,0))))+IF(ISNA(MATCH(DATE(YEAR(E$4-E$57),MONTH(E$4-E$57)+1,0),$A$4:$AP$4,0)),0,IF(DATE(YEAR(E$4-E$57),MONTH(E$4-E$57)+1,0)&lt;=$C$4,0,OFFSET($A$58,0,MATCH(DATE(YEAR(E$4-E$57),MONTH(E$4-E$57)+1,0),$A$4:$AP$4,0)-1,1,1)/OFFSET($A$43,0,MATCH(DATE(YEAR(E$4-E$57),MONTH(E$4-E$57)+1,0),$A$4:$AP$4,0)-1,1,1)*IF((E$4-E$57)&gt;DATE(YEAR($D$4),MONTH($D$4),0),(E$57-(E$4-DATE(YEAR(E$4-E$57),MONTH(E$4-E$57)+1,0))),0)))+IF(D$57=0,0,($C$33/$C$57*IF(DATE(YEAR($D$4),MONTH($D$4),0)&gt;(E$4-E$57),DATE(YEAR($D$4),MONTH($D$4),0)-(E$4-E$57),0))))</f>
        <v>1146786729.3042405</v>
      </c>
      <c r="F33" s="87">
        <f t="shared" ca="1" si="15"/>
        <v>1185012953.6143818</v>
      </c>
      <c r="G33" s="87">
        <f t="shared" ca="1" si="15"/>
        <v>1146786729.3042405</v>
      </c>
      <c r="H33" s="87">
        <f t="shared" ca="1" si="15"/>
        <v>1185012953.6143818</v>
      </c>
      <c r="I33" s="87">
        <f t="shared" ca="1" si="15"/>
        <v>1146786729.3042405</v>
      </c>
      <c r="J33" s="87">
        <f t="shared" ca="1" si="15"/>
        <v>1146786729.3042405</v>
      </c>
      <c r="K33" s="87">
        <f t="shared" ca="1" si="15"/>
        <v>1269656736.0154092</v>
      </c>
      <c r="L33" s="87">
        <f t="shared" ca="1" si="15"/>
        <v>1146786729.3042405</v>
      </c>
      <c r="M33" s="87">
        <f t="shared" ca="1" si="15"/>
        <v>1185012953.6143818</v>
      </c>
      <c r="N33" s="87">
        <f t="shared" ca="1" si="15"/>
        <v>1146786729.3042405</v>
      </c>
      <c r="O33" s="87">
        <f t="shared" ca="1" si="15"/>
        <v>1185012953.6143818</v>
      </c>
      <c r="P33" s="39">
        <f t="shared" ca="1" si="14"/>
        <v>1185012953.6143818</v>
      </c>
      <c r="Q33" s="39">
        <f ca="1">IF(P57=0,0,P33/P57*Q57*IF(P58=0,1,Q58/P58))</f>
        <v>1237236595.573415</v>
      </c>
      <c r="R33" s="39">
        <f t="shared" ref="R33:T33" ca="1" si="16">IF(Q57=0,0,Q33/Q57*R57*IF(Q58=0,1,R58/Q58))</f>
        <v>1336105452.8192883</v>
      </c>
      <c r="S33" s="39">
        <f t="shared" ca="1" si="16"/>
        <v>1418106637.5355067</v>
      </c>
      <c r="T33" s="39">
        <f t="shared" ca="1" si="16"/>
        <v>1531431493.4369073</v>
      </c>
    </row>
    <row r="34" spans="1:20" ht="16.149999999999999" customHeight="1" x14ac:dyDescent="0.3">
      <c r="A34" s="116" t="s">
        <v>128</v>
      </c>
      <c r="B34" s="5" t="s">
        <v>129</v>
      </c>
      <c r="C34" s="39">
        <f ca="1">-SUMIF(Assumptions!$A$76:$C$100,$A34,Assumptions!$C$76:$C$100)</f>
        <v>0</v>
      </c>
      <c r="D34" s="87">
        <f ca="1">IF(D61=0,0,SUM(OFFSET(D62,0,0,1,-MIN(D61,COLUMN(D$4)-COLUMN($B$4))))-SUM(OFFSET(D63,0,0,1,-MIN(D61,COLUMN(D$4)-COLUMN($B$4)))))</f>
        <v>238379583.78597599</v>
      </c>
      <c r="E34" s="87">
        <f t="shared" ref="E34:O34" ca="1" si="17">IF(E61=0,0,SUM(OFFSET(E62,0,0,1,-MIN(E61,COLUMN(E$4)-COLUMN($B$4))))-SUM(OFFSET(E63,0,0,1,-MIN(E61,COLUMN(E$4)-COLUMN($B$4)))))</f>
        <v>238379583.78597599</v>
      </c>
      <c r="F34" s="87">
        <f t="shared" ca="1" si="17"/>
        <v>238379583.78597599</v>
      </c>
      <c r="G34" s="87">
        <f t="shared" ca="1" si="17"/>
        <v>238379583.78597599</v>
      </c>
      <c r="H34" s="87">
        <f t="shared" ca="1" si="17"/>
        <v>238379583.78597599</v>
      </c>
      <c r="I34" s="87">
        <f t="shared" ca="1" si="17"/>
        <v>238379583.78597599</v>
      </c>
      <c r="J34" s="87">
        <f t="shared" ca="1" si="17"/>
        <v>238379583.78597599</v>
      </c>
      <c r="K34" s="87">
        <f t="shared" ca="1" si="17"/>
        <v>238379583.78597599</v>
      </c>
      <c r="L34" s="87">
        <f t="shared" ca="1" si="17"/>
        <v>238379583.78597599</v>
      </c>
      <c r="M34" s="87">
        <f t="shared" ca="1" si="17"/>
        <v>238379583.78597599</v>
      </c>
      <c r="N34" s="87">
        <f t="shared" ca="1" si="17"/>
        <v>238379583.78597599</v>
      </c>
      <c r="O34" s="87">
        <f t="shared" ca="1" si="17"/>
        <v>238379583.78597599</v>
      </c>
      <c r="P34" s="39">
        <f t="shared" ca="1" si="14"/>
        <v>238379583.78597599</v>
      </c>
      <c r="Q34" s="39">
        <f ca="1">(Q62-Q63)/12*Q61</f>
        <v>270439664.01329678</v>
      </c>
      <c r="R34" s="39">
        <f t="shared" ref="R34:T34" ca="1" si="18">(R62-R63)/12*R61</f>
        <v>292108417.93436056</v>
      </c>
      <c r="S34" s="39">
        <f t="shared" ca="1" si="18"/>
        <v>323069812.1685645</v>
      </c>
      <c r="T34" s="39">
        <f t="shared" ca="1" si="18"/>
        <v>348953128.52892953</v>
      </c>
    </row>
    <row r="35" spans="1:20" ht="16.149999999999999" customHeight="1" x14ac:dyDescent="0.3">
      <c r="A35" s="116" t="s">
        <v>130</v>
      </c>
      <c r="B35" s="5" t="s">
        <v>131</v>
      </c>
      <c r="C35" s="39">
        <f ca="1">-SUMIF(Assumptions!$A$76:$C$100,$A35,Assumptions!$C$76:$C$100)</f>
        <v>0</v>
      </c>
      <c r="D35" s="87">
        <f ca="1">IF(D71=0,0,SUM(OFFSET(D72,0,0,1,-MIN(D71,COLUMN(D$4)-COLUMN($B$4)))))</f>
        <v>26977183.766399998</v>
      </c>
      <c r="E35" s="87">
        <f t="shared" ref="E35:O35" ca="1" si="19">IF(E71=0,0,SUM(OFFSET(E72,0,0,1,-MIN(E71,COLUMN(E$4)-COLUMN($B$4)))))</f>
        <v>26977183.766399998</v>
      </c>
      <c r="F35" s="87">
        <f t="shared" ca="1" si="19"/>
        <v>26977183.766399998</v>
      </c>
      <c r="G35" s="87">
        <f t="shared" ca="1" si="19"/>
        <v>26977183.766399998</v>
      </c>
      <c r="H35" s="87">
        <f t="shared" ca="1" si="19"/>
        <v>26977183.766399998</v>
      </c>
      <c r="I35" s="87">
        <f t="shared" ca="1" si="19"/>
        <v>26977183.766399998</v>
      </c>
      <c r="J35" s="87">
        <f t="shared" ca="1" si="19"/>
        <v>26977183.766399998</v>
      </c>
      <c r="K35" s="87">
        <f t="shared" ca="1" si="19"/>
        <v>26977183.766399998</v>
      </c>
      <c r="L35" s="87">
        <f t="shared" ca="1" si="19"/>
        <v>26977183.766399998</v>
      </c>
      <c r="M35" s="87">
        <f t="shared" ca="1" si="19"/>
        <v>26977183.766399998</v>
      </c>
      <c r="N35" s="87">
        <f t="shared" ca="1" si="19"/>
        <v>26977183.766399998</v>
      </c>
      <c r="O35" s="87">
        <f t="shared" ca="1" si="19"/>
        <v>26977183.766399998</v>
      </c>
      <c r="P35" s="39">
        <f t="shared" ca="1" si="14"/>
        <v>26977183.766399998</v>
      </c>
      <c r="Q35" s="39">
        <f ca="1">P35/P69*Q69*(1+Q72)</f>
        <v>28595814.792383999</v>
      </c>
      <c r="R35" s="39">
        <f t="shared" ref="R35:T35" ca="1" si="20">Q35/Q69*R69*(1+R72)</f>
        <v>30311563.67992704</v>
      </c>
      <c r="S35" s="39">
        <f t="shared" ca="1" si="20"/>
        <v>32130257.500722665</v>
      </c>
      <c r="T35" s="39">
        <f t="shared" ca="1" si="20"/>
        <v>34058072.950766027</v>
      </c>
    </row>
    <row r="36" spans="1:20" ht="16.149999999999999" customHeight="1" x14ac:dyDescent="0.3">
      <c r="A36" s="116" t="s">
        <v>132</v>
      </c>
      <c r="B36" s="5" t="s">
        <v>143</v>
      </c>
      <c r="C36" s="39">
        <f ca="1">-SUMIF(Assumptions!$A$76:$C$100,$A36,Assumptions!$C$76:$C$100)</f>
        <v>0</v>
      </c>
      <c r="D36" s="87">
        <f ca="1">C36+CashFlow!C21</f>
        <v>0</v>
      </c>
      <c r="E36" s="87">
        <f ca="1">D36+CashFlow!D21</f>
        <v>0</v>
      </c>
      <c r="F36" s="87">
        <f ca="1">E36+CashFlow!E21</f>
        <v>0</v>
      </c>
      <c r="G36" s="87">
        <f ca="1">F36+CashFlow!F21</f>
        <v>0</v>
      </c>
      <c r="H36" s="87">
        <f ca="1">G36+CashFlow!G21</f>
        <v>0</v>
      </c>
      <c r="I36" s="87">
        <f ca="1">H36+CashFlow!H21</f>
        <v>0</v>
      </c>
      <c r="J36" s="87">
        <f ca="1">I36+CashFlow!I21</f>
        <v>0</v>
      </c>
      <c r="K36" s="87">
        <f ca="1">J36+CashFlow!J21</f>
        <v>0</v>
      </c>
      <c r="L36" s="87">
        <f ca="1">K36+CashFlow!K21</f>
        <v>0</v>
      </c>
      <c r="M36" s="87">
        <f ca="1">L36+CashFlow!L21</f>
        <v>0</v>
      </c>
      <c r="N36" s="87">
        <f ca="1">M36+CashFlow!M21</f>
        <v>0</v>
      </c>
      <c r="O36" s="87">
        <f ca="1">N36+CashFlow!N21</f>
        <v>0</v>
      </c>
      <c r="P36" s="39">
        <f t="shared" ca="1" si="14"/>
        <v>0</v>
      </c>
      <c r="Q36" s="39">
        <f ca="1">P36+CashFlow!P21</f>
        <v>0</v>
      </c>
      <c r="R36" s="39">
        <f ca="1">Q36+CashFlow!Q21</f>
        <v>0</v>
      </c>
      <c r="S36" s="39">
        <f ca="1">R36+CashFlow!R21</f>
        <v>0</v>
      </c>
      <c r="T36" s="39">
        <f ca="1">S36+CashFlow!S21</f>
        <v>0</v>
      </c>
    </row>
    <row r="37" spans="1:20" ht="16.149999999999999" customHeight="1" x14ac:dyDescent="0.3">
      <c r="A37" s="116" t="s">
        <v>134</v>
      </c>
      <c r="B37" s="5" t="s">
        <v>135</v>
      </c>
      <c r="C37" s="39">
        <f ca="1">-SUMIF(Assumptions!$A$76:$C$100,$A37,Assumptions!$C$76:$C$100)</f>
        <v>0</v>
      </c>
      <c r="D37" s="87">
        <f ca="1">IF(D66=0,0,SUM(OFFSET(D67,0,0,1,-MIN(D66,COLUMN(D$4)-COLUMN($B$4)))))</f>
        <v>335240106.67236006</v>
      </c>
      <c r="E37" s="87">
        <f t="shared" ref="E37:O37" ca="1" si="21">IF(E66=0,0,SUM(OFFSET(E67,0,0,1,-MIN(E66,COLUMN(E$4)-COLUMN($B$4)))))</f>
        <v>670744612.89507902</v>
      </c>
      <c r="F37" s="87">
        <f t="shared" ca="1" si="21"/>
        <v>1006516162.6636606</v>
      </c>
      <c r="G37" s="87">
        <f t="shared" ca="1" si="21"/>
        <v>1342557426.4135635</v>
      </c>
      <c r="H37" s="87">
        <f t="shared" ca="1" si="21"/>
        <v>1678871101.2846005</v>
      </c>
      <c r="I37" s="87">
        <f t="shared" ca="1" si="21"/>
        <v>0</v>
      </c>
      <c r="J37" s="87">
        <f t="shared" ca="1" si="21"/>
        <v>336866696.68805218</v>
      </c>
      <c r="K37" s="87">
        <f t="shared" ca="1" si="21"/>
        <v>674014058.82662058</v>
      </c>
      <c r="L37" s="87">
        <f t="shared" ca="1" si="21"/>
        <v>1011444893.0702095</v>
      </c>
      <c r="M37" s="87">
        <f t="shared" ca="1" si="21"/>
        <v>1349162034.1398697</v>
      </c>
      <c r="N37" s="87">
        <f t="shared" ca="1" si="21"/>
        <v>1687168345.1038623</v>
      </c>
      <c r="O37" s="87">
        <f t="shared" ca="1" si="21"/>
        <v>1941213030.16113</v>
      </c>
      <c r="P37" s="39">
        <f t="shared" ca="1" si="14"/>
        <v>1941213030.16113</v>
      </c>
      <c r="Q37" s="87">
        <f ca="1">Q67/12*Q66</f>
        <v>2305633383.3427162</v>
      </c>
      <c r="R37" s="87">
        <f t="shared" ref="R37:T37" ca="1" si="22">R67/12*R66</f>
        <v>2530839752.8419871</v>
      </c>
      <c r="S37" s="87">
        <f t="shared" ca="1" si="22"/>
        <v>2851084821.1206827</v>
      </c>
      <c r="T37" s="87">
        <f t="shared" ca="1" si="22"/>
        <v>3122991211.9526253</v>
      </c>
    </row>
    <row r="38" spans="1:20" ht="16.149999999999999" customHeight="1" x14ac:dyDescent="0.3">
      <c r="A38" s="116" t="s">
        <v>240</v>
      </c>
      <c r="B38" s="5" t="s">
        <v>249</v>
      </c>
      <c r="C38" s="39">
        <f ca="1">-SUMIF(Assumptions!$A$76:$C$100,$A38,Assumptions!$C$76:$C$100)</f>
        <v>0</v>
      </c>
      <c r="D38" s="87">
        <f ca="1">D80</f>
        <v>0</v>
      </c>
      <c r="E38" s="87">
        <f t="shared" ref="E38:T38" ca="1" si="23">E80</f>
        <v>0</v>
      </c>
      <c r="F38" s="87">
        <f t="shared" ca="1" si="23"/>
        <v>0</v>
      </c>
      <c r="G38" s="87">
        <f t="shared" ca="1" si="23"/>
        <v>0</v>
      </c>
      <c r="H38" s="87">
        <f t="shared" ca="1" si="23"/>
        <v>0</v>
      </c>
      <c r="I38" s="87">
        <f t="shared" ca="1" si="23"/>
        <v>0</v>
      </c>
      <c r="J38" s="87">
        <f t="shared" ca="1" si="23"/>
        <v>0</v>
      </c>
      <c r="K38" s="87">
        <f t="shared" ca="1" si="23"/>
        <v>0</v>
      </c>
      <c r="L38" s="87">
        <f t="shared" ca="1" si="23"/>
        <v>0</v>
      </c>
      <c r="M38" s="87">
        <f t="shared" ca="1" si="23"/>
        <v>0</v>
      </c>
      <c r="N38" s="87">
        <f t="shared" ca="1" si="23"/>
        <v>0</v>
      </c>
      <c r="O38" s="87">
        <f t="shared" ca="1" si="23"/>
        <v>1938769741.3590653</v>
      </c>
      <c r="P38" s="39">
        <f t="shared" ca="1" si="14"/>
        <v>1938769741.3590653</v>
      </c>
      <c r="Q38" s="87">
        <f t="shared" ca="1" si="23"/>
        <v>2259520715.6758637</v>
      </c>
      <c r="R38" s="87">
        <f t="shared" ca="1" si="23"/>
        <v>2480222957.7851472</v>
      </c>
      <c r="S38" s="87">
        <f t="shared" ca="1" si="23"/>
        <v>2794063124.6982703</v>
      </c>
      <c r="T38" s="87">
        <f t="shared" ca="1" si="23"/>
        <v>3060531387.7135744</v>
      </c>
    </row>
    <row r="39" spans="1:20" ht="16.149999999999999" customHeight="1" x14ac:dyDescent="0.3">
      <c r="A39" s="116" t="s">
        <v>136</v>
      </c>
      <c r="B39" s="5" t="s">
        <v>137</v>
      </c>
      <c r="C39" s="39">
        <f ca="1">-SUMIF(Assumptions!$A$76:$C$100,$A39,Assumptions!$C$76:$C$100)</f>
        <v>0</v>
      </c>
      <c r="D39" s="39">
        <f ca="1">C39+CashFlow!C22</f>
        <v>0</v>
      </c>
      <c r="E39" s="39">
        <f ca="1">D39+CashFlow!D22</f>
        <v>0</v>
      </c>
      <c r="F39" s="39">
        <f ca="1">E39+CashFlow!E22</f>
        <v>0</v>
      </c>
      <c r="G39" s="39">
        <f ca="1">F39+CashFlow!F22</f>
        <v>0</v>
      </c>
      <c r="H39" s="39">
        <f ca="1">G39+CashFlow!G22</f>
        <v>0</v>
      </c>
      <c r="I39" s="39">
        <f ca="1">H39+CashFlow!H22</f>
        <v>0</v>
      </c>
      <c r="J39" s="39">
        <f ca="1">I39+CashFlow!I22</f>
        <v>0</v>
      </c>
      <c r="K39" s="39">
        <f ca="1">J39+CashFlow!J22</f>
        <v>0</v>
      </c>
      <c r="L39" s="39">
        <f ca="1">K39+CashFlow!K22</f>
        <v>0</v>
      </c>
      <c r="M39" s="39">
        <f ca="1">L39+CashFlow!L22</f>
        <v>0</v>
      </c>
      <c r="N39" s="39">
        <f ca="1">M39+CashFlow!M22</f>
        <v>0</v>
      </c>
      <c r="O39" s="39">
        <f ca="1">N39+CashFlow!N22</f>
        <v>0</v>
      </c>
      <c r="P39" s="39">
        <f t="shared" ca="1" si="14"/>
        <v>0</v>
      </c>
      <c r="Q39" s="39">
        <f ca="1">P39+CashFlow!P22</f>
        <v>0</v>
      </c>
      <c r="R39" s="39">
        <f ca="1">Q39+CashFlow!Q22</f>
        <v>0</v>
      </c>
      <c r="S39" s="39">
        <f ca="1">R39+CashFlow!R22</f>
        <v>0</v>
      </c>
      <c r="T39" s="39">
        <f ca="1">S39+CashFlow!S22</f>
        <v>0</v>
      </c>
    </row>
    <row r="40" spans="1:20" ht="16.149999999999999" customHeight="1" thickBot="1" x14ac:dyDescent="0.35">
      <c r="C40" s="85">
        <f ca="1">SUM(C32:C39)</f>
        <v>0</v>
      </c>
      <c r="D40" s="85">
        <f t="shared" ref="D40:T40" ca="1" si="24">SUM(D32:D39)</f>
        <v>3451344412.9710031</v>
      </c>
      <c r="E40" s="85">
        <f t="shared" ca="1" si="24"/>
        <v>2399951330.4055123</v>
      </c>
      <c r="F40" s="85">
        <f t="shared" ca="1" si="24"/>
        <v>2456885883.8304186</v>
      </c>
      <c r="G40" s="85">
        <f t="shared" ca="1" si="24"/>
        <v>2754700923.2701797</v>
      </c>
      <c r="H40" s="85">
        <f t="shared" ca="1" si="24"/>
        <v>3129240822.4513583</v>
      </c>
      <c r="I40" s="85">
        <f t="shared" ca="1" si="24"/>
        <v>1412143496.8566165</v>
      </c>
      <c r="J40" s="85">
        <f t="shared" ca="1" si="24"/>
        <v>1749010193.5446687</v>
      </c>
      <c r="K40" s="85">
        <f t="shared" ca="1" si="24"/>
        <v>2209027562.3944058</v>
      </c>
      <c r="L40" s="85">
        <f t="shared" ca="1" si="24"/>
        <v>2423588389.926826</v>
      </c>
      <c r="M40" s="85">
        <f t="shared" ca="1" si="24"/>
        <v>2799531755.3066273</v>
      </c>
      <c r="N40" s="85">
        <f t="shared" ca="1" si="24"/>
        <v>3099311841.9604788</v>
      </c>
      <c r="O40" s="85">
        <f t="shared" ca="1" si="24"/>
        <v>5330352492.6869526</v>
      </c>
      <c r="P40" s="85">
        <f t="shared" ca="1" si="24"/>
        <v>5330352492.6869526</v>
      </c>
      <c r="Q40" s="85">
        <f t="shared" ca="1" si="24"/>
        <v>6101426173.3976765</v>
      </c>
      <c r="R40" s="85">
        <f t="shared" ca="1" si="24"/>
        <v>6669588145.0607109</v>
      </c>
      <c r="S40" s="85">
        <f t="shared" ca="1" si="24"/>
        <v>7418454653.0237465</v>
      </c>
      <c r="T40" s="85">
        <f t="shared" ca="1" si="24"/>
        <v>8097965294.5828028</v>
      </c>
    </row>
    <row r="41" spans="1:20" s="2" customFormat="1" ht="16.149999999999999" customHeight="1" thickBot="1" x14ac:dyDescent="0.3">
      <c r="A41" s="117"/>
      <c r="B41" s="2" t="s">
        <v>144</v>
      </c>
      <c r="C41" s="86">
        <f ca="1">SUM(C24,C30,C40)</f>
        <v>8497259995</v>
      </c>
      <c r="D41" s="86">
        <f t="shared" ref="D41:T41" ca="1" si="25">SUM(D24,D30,D40)</f>
        <v>12642698140.086853</v>
      </c>
      <c r="E41" s="86">
        <f t="shared" ca="1" si="25"/>
        <v>12285134390.086855</v>
      </c>
      <c r="F41" s="86">
        <f t="shared" ca="1" si="25"/>
        <v>13035631232.531391</v>
      </c>
      <c r="G41" s="86">
        <f t="shared" ca="1" si="25"/>
        <v>14026738847.009459</v>
      </c>
      <c r="H41" s="86">
        <f t="shared" ca="1" si="25"/>
        <v>15094298910.107811</v>
      </c>
      <c r="I41" s="86">
        <f t="shared" ca="1" si="25"/>
        <v>14069946613.197897</v>
      </c>
      <c r="J41" s="86">
        <f t="shared" ca="1" si="25"/>
        <v>15099280451.986107</v>
      </c>
      <c r="K41" s="86">
        <f t="shared" ca="1" si="25"/>
        <v>16251484297.485485</v>
      </c>
      <c r="L41" s="86">
        <f t="shared" ca="1" si="25"/>
        <v>17157948129.562531</v>
      </c>
      <c r="M41" s="86">
        <f t="shared" ca="1" si="25"/>
        <v>18225508192.660881</v>
      </c>
      <c r="N41" s="86">
        <f t="shared" ca="1" si="25"/>
        <v>19216615807.13895</v>
      </c>
      <c r="O41" s="86">
        <f t="shared" ca="1" si="25"/>
        <v>20003330245.237301</v>
      </c>
      <c r="P41" s="86">
        <f t="shared" ca="1" si="25"/>
        <v>20003330245.237301</v>
      </c>
      <c r="Q41" s="86">
        <f t="shared" ca="1" si="25"/>
        <v>28014997704.306694</v>
      </c>
      <c r="R41" s="86">
        <f t="shared" ca="1" si="25"/>
        <v>36494277134.707184</v>
      </c>
      <c r="S41" s="86">
        <f t="shared" ca="1" si="25"/>
        <v>46154902117.635132</v>
      </c>
      <c r="T41" s="86">
        <f t="shared" ca="1" si="25"/>
        <v>56545775686.502876</v>
      </c>
    </row>
    <row r="42" spans="1:20" s="19" customFormat="1" ht="16.149999999999999" customHeight="1" thickTop="1" x14ac:dyDescent="0.3">
      <c r="A42" s="118"/>
      <c r="C42" s="88" t="str">
        <f ca="1">IF(ROUND(C18-C41,0)&lt;&gt;0,ROUND(C18-C41,0),"")</f>
        <v/>
      </c>
      <c r="D42" s="88" t="str">
        <f t="shared" ref="D42:T42" ca="1" si="26">IF(ROUND(D18-D41,0)&lt;&gt;0,ROUND(D18-D41,0),"")</f>
        <v/>
      </c>
      <c r="E42" s="88" t="str">
        <f t="shared" ca="1" si="26"/>
        <v/>
      </c>
      <c r="F42" s="88" t="str">
        <f t="shared" ca="1" si="26"/>
        <v/>
      </c>
      <c r="G42" s="88" t="str">
        <f t="shared" ca="1" si="26"/>
        <v/>
      </c>
      <c r="H42" s="88" t="str">
        <f t="shared" ca="1" si="26"/>
        <v/>
      </c>
      <c r="I42" s="88" t="str">
        <f t="shared" ca="1" si="26"/>
        <v/>
      </c>
      <c r="J42" s="88" t="str">
        <f t="shared" ca="1" si="26"/>
        <v/>
      </c>
      <c r="K42" s="88" t="str">
        <f t="shared" ca="1" si="26"/>
        <v/>
      </c>
      <c r="L42" s="88" t="str">
        <f t="shared" ca="1" si="26"/>
        <v/>
      </c>
      <c r="M42" s="88" t="str">
        <f t="shared" ca="1" si="26"/>
        <v/>
      </c>
      <c r="N42" s="88" t="str">
        <f t="shared" ca="1" si="26"/>
        <v/>
      </c>
      <c r="O42" s="88" t="str">
        <f t="shared" ca="1" si="26"/>
        <v/>
      </c>
      <c r="P42" s="88" t="str">
        <f t="shared" ca="1" si="26"/>
        <v/>
      </c>
      <c r="Q42" s="88" t="str">
        <f t="shared" ca="1" si="26"/>
        <v/>
      </c>
      <c r="R42" s="88" t="str">
        <f t="shared" ca="1" si="26"/>
        <v/>
      </c>
      <c r="S42" s="88" t="str">
        <f t="shared" ca="1" si="26"/>
        <v/>
      </c>
      <c r="T42" s="88" t="str">
        <f t="shared" ca="1" si="26"/>
        <v/>
      </c>
    </row>
    <row r="43" spans="1:20" s="6" customFormat="1" ht="16.149999999999999" customHeight="1" x14ac:dyDescent="0.25">
      <c r="A43" s="119"/>
      <c r="B43" s="6" t="s">
        <v>95</v>
      </c>
      <c r="C43" s="72">
        <f t="shared" ref="C43:O43" ca="1" si="27">C4-DATE(YEAR(C4),MONTH(C4),1)+1</f>
        <v>30</v>
      </c>
      <c r="D43" s="72">
        <f t="shared" ca="1" si="27"/>
        <v>31</v>
      </c>
      <c r="E43" s="72">
        <f t="shared" ca="1" si="27"/>
        <v>31</v>
      </c>
      <c r="F43" s="72">
        <f t="shared" ca="1" si="27"/>
        <v>30</v>
      </c>
      <c r="G43" s="72">
        <f t="shared" ca="1" si="27"/>
        <v>31</v>
      </c>
      <c r="H43" s="72">
        <f t="shared" ca="1" si="27"/>
        <v>30</v>
      </c>
      <c r="I43" s="72">
        <f t="shared" ca="1" si="27"/>
        <v>31</v>
      </c>
      <c r="J43" s="72">
        <f t="shared" ca="1" si="27"/>
        <v>31</v>
      </c>
      <c r="K43" s="72">
        <f t="shared" ca="1" si="27"/>
        <v>28</v>
      </c>
      <c r="L43" s="72">
        <f t="shared" ca="1" si="27"/>
        <v>31</v>
      </c>
      <c r="M43" s="72">
        <f t="shared" ca="1" si="27"/>
        <v>30</v>
      </c>
      <c r="N43" s="72">
        <f t="shared" ca="1" si="27"/>
        <v>31</v>
      </c>
      <c r="O43" s="72">
        <f t="shared" ca="1" si="27"/>
        <v>30</v>
      </c>
      <c r="P43" s="72">
        <f ca="1">SUM(D43:O43)</f>
        <v>365</v>
      </c>
      <c r="Q43" s="72">
        <f ca="1">DATE(YEAR($O$4)+COLUMN(Q$4)-COLUMN($P$4),MONTH($O$4)+1,0)-DATE(YEAR($O$4)+COLUMN(Q$4)-COLUMN($Q$4),MONTH($O$4)+1,0)</f>
        <v>365</v>
      </c>
      <c r="R43" s="72">
        <f t="shared" ref="R43:T43" ca="1" si="28">DATE(YEAR($O$4)+COLUMN(R$4)-COLUMN($P$4),MONTH($O$4)+1,0)-DATE(YEAR($O$4)+COLUMN(R$4)-COLUMN($Q$4),MONTH($O$4)+1,0)</f>
        <v>366</v>
      </c>
      <c r="S43" s="72">
        <f t="shared" ca="1" si="28"/>
        <v>365</v>
      </c>
      <c r="T43" s="72">
        <f t="shared" ca="1" si="28"/>
        <v>365</v>
      </c>
    </row>
    <row r="45" spans="1:20" s="6" customFormat="1" ht="16.149999999999999" customHeight="1" x14ac:dyDescent="0.25">
      <c r="A45" s="119"/>
      <c r="B45" s="6" t="s">
        <v>51</v>
      </c>
      <c r="C45" s="72"/>
      <c r="D45" s="58">
        <f ca="1">IF(D$40=0,0,D$17/D$40)</f>
        <v>1.4796413466863583</v>
      </c>
      <c r="E45" s="58">
        <f t="shared" ref="E45:T45" ca="1" si="29">IF(E$40=0,0,E$17/E$40)</f>
        <v>2.1278564404153903</v>
      </c>
      <c r="F45" s="58">
        <f t="shared" ca="1" si="29"/>
        <v>2.5295486975740848</v>
      </c>
      <c r="G45" s="58">
        <f t="shared" ca="1" si="29"/>
        <v>2.7456642527387847</v>
      </c>
      <c r="H45" s="58">
        <f t="shared" ca="1" si="29"/>
        <v>2.8724563480756302</v>
      </c>
      <c r="I45" s="58">
        <f t="shared" ca="1" si="29"/>
        <v>5.8930407120253596</v>
      </c>
      <c r="J45" s="58">
        <f t="shared" ca="1" si="29"/>
        <v>5.5509777717817244</v>
      </c>
      <c r="K45" s="58">
        <f t="shared" ca="1" si="29"/>
        <v>5.0784718549756631</v>
      </c>
      <c r="L45" s="58">
        <f t="shared" ca="1" si="29"/>
        <v>5.1504256813754603</v>
      </c>
      <c r="M45" s="58">
        <f t="shared" ca="1" si="29"/>
        <v>4.967843522867132</v>
      </c>
      <c r="N45" s="58">
        <f t="shared" ca="1" si="29"/>
        <v>4.9224820992806357</v>
      </c>
      <c r="O45" s="58">
        <f t="shared" ca="1" si="29"/>
        <v>3.1295174002326505</v>
      </c>
      <c r="P45" s="58">
        <f t="shared" ca="1" si="29"/>
        <v>3.1295174002326505</v>
      </c>
      <c r="Q45" s="58">
        <f t="shared" ca="1" si="29"/>
        <v>4.0931322037779347</v>
      </c>
      <c r="R45" s="58">
        <f t="shared" ca="1" si="29"/>
        <v>5.0578938730556819</v>
      </c>
      <c r="S45" s="58">
        <f t="shared" ca="1" si="29"/>
        <v>5.8874174832131345</v>
      </c>
      <c r="T45" s="58">
        <f t="shared" ca="1" si="29"/>
        <v>6.7112239728736416</v>
      </c>
    </row>
    <row r="46" spans="1:20" s="6" customFormat="1" ht="16.149999999999999" customHeight="1" x14ac:dyDescent="0.25">
      <c r="A46" s="119"/>
      <c r="B46" s="6" t="s">
        <v>52</v>
      </c>
      <c r="C46" s="72"/>
      <c r="D46" s="58">
        <f ca="1">IF(D$40=0,0,(D$17-D$12)/D$40)</f>
        <v>0.91893515215258048</v>
      </c>
      <c r="E46" s="58">
        <f t="shared" ref="E46:T46" ca="1" si="30">IF(E$40=0,0,(E$17-E$12)/E$40)</f>
        <v>1.3215108419421899</v>
      </c>
      <c r="F46" s="58">
        <f t="shared" ca="1" si="30"/>
        <v>1.715633592802444</v>
      </c>
      <c r="G46" s="58">
        <f t="shared" ca="1" si="30"/>
        <v>2.0431596085957575</v>
      </c>
      <c r="H46" s="58">
        <f t="shared" ca="1" si="30"/>
        <v>2.2334206697722601</v>
      </c>
      <c r="I46" s="58">
        <f t="shared" ca="1" si="30"/>
        <v>4.5226486830778381</v>
      </c>
      <c r="J46" s="58">
        <f t="shared" ca="1" si="30"/>
        <v>4.4445289935156627</v>
      </c>
      <c r="K46" s="58">
        <f t="shared" ca="1" si="30"/>
        <v>4.1148309990429839</v>
      </c>
      <c r="L46" s="58">
        <f t="shared" ca="1" si="30"/>
        <v>4.3519443056329337</v>
      </c>
      <c r="M46" s="58">
        <f t="shared" ca="1" si="30"/>
        <v>4.2535467381425818</v>
      </c>
      <c r="N46" s="58">
        <f t="shared" ca="1" si="30"/>
        <v>4.2980885917856693</v>
      </c>
      <c r="O46" s="58">
        <f t="shared" ca="1" si="30"/>
        <v>2.7543646248217728</v>
      </c>
      <c r="P46" s="58">
        <f t="shared" ca="1" si="30"/>
        <v>2.7543646248217728</v>
      </c>
      <c r="Q46" s="58">
        <f t="shared" ca="1" si="30"/>
        <v>3.7509690570631014</v>
      </c>
      <c r="R46" s="58">
        <f t="shared" ca="1" si="30"/>
        <v>4.7198373417955342</v>
      </c>
      <c r="S46" s="58">
        <f t="shared" ca="1" si="30"/>
        <v>5.5648314807067143</v>
      </c>
      <c r="T46" s="58">
        <f t="shared" ca="1" si="30"/>
        <v>6.3920651832544086</v>
      </c>
    </row>
    <row r="47" spans="1:20" s="6" customFormat="1" ht="16.149999999999999" customHeight="1" x14ac:dyDescent="0.25">
      <c r="A47" s="119"/>
      <c r="B47" s="6" t="s">
        <v>31</v>
      </c>
      <c r="C47" s="72"/>
      <c r="D47" s="58">
        <f ca="1">IF(D$54=0,0,D$12/D$54*D$43)</f>
        <v>30</v>
      </c>
      <c r="E47" s="58">
        <f t="shared" ref="E47:O47" ca="1" si="31">IF(E$54=0,0,E$12/E$54*E$43)</f>
        <v>30</v>
      </c>
      <c r="F47" s="58">
        <f t="shared" ca="1" si="31"/>
        <v>30</v>
      </c>
      <c r="G47" s="58">
        <f t="shared" ca="1" si="31"/>
        <v>30</v>
      </c>
      <c r="H47" s="58">
        <f t="shared" ca="1" si="31"/>
        <v>30</v>
      </c>
      <c r="I47" s="58">
        <f t="shared" ca="1" si="31"/>
        <v>30</v>
      </c>
      <c r="J47" s="58">
        <f t="shared" ca="1" si="31"/>
        <v>30</v>
      </c>
      <c r="K47" s="58">
        <f t="shared" ca="1" si="31"/>
        <v>29.806451612903224</v>
      </c>
      <c r="L47" s="58">
        <f t="shared" ca="1" si="31"/>
        <v>30</v>
      </c>
      <c r="M47" s="58">
        <f t="shared" ca="1" si="31"/>
        <v>30</v>
      </c>
      <c r="N47" s="58">
        <f t="shared" ca="1" si="31"/>
        <v>30</v>
      </c>
      <c r="O47" s="58">
        <f t="shared" ca="1" si="31"/>
        <v>30</v>
      </c>
      <c r="P47" s="58">
        <f ca="1">O47</f>
        <v>30</v>
      </c>
      <c r="Q47" s="58">
        <f ca="1">Q$12/IF($P54=0,1,Q54/$P54)/IF($O54=0,1,$O54)*$O43</f>
        <v>30</v>
      </c>
      <c r="R47" s="58">
        <f t="shared" ref="R47:T47" ca="1" si="32">R$12/IF($P54=0,1,R54/$P54)/IF($O54=0,1,$O54)*$O43</f>
        <v>29.999999999999996</v>
      </c>
      <c r="S47" s="58">
        <f t="shared" ca="1" si="32"/>
        <v>30</v>
      </c>
      <c r="T47" s="58">
        <f t="shared" ca="1" si="32"/>
        <v>30.000000000000007</v>
      </c>
    </row>
    <row r="48" spans="1:20" s="6" customFormat="1" ht="16.149999999999999" customHeight="1" x14ac:dyDescent="0.25">
      <c r="A48" s="119"/>
      <c r="B48" s="6" t="s">
        <v>29</v>
      </c>
      <c r="C48" s="72"/>
      <c r="D48" s="58">
        <f ca="1">IF(D$56=0,0,D$13/D$56*D$43)</f>
        <v>25</v>
      </c>
      <c r="E48" s="58">
        <f t="shared" ref="E48:O48" ca="1" si="33">IF(E$56=0,0,E$13/E$56*E$43)</f>
        <v>25</v>
      </c>
      <c r="F48" s="58">
        <f t="shared" ca="1" si="33"/>
        <v>24.999999999999996</v>
      </c>
      <c r="G48" s="58">
        <f t="shared" ca="1" si="33"/>
        <v>25</v>
      </c>
      <c r="H48" s="58">
        <f t="shared" ca="1" si="33"/>
        <v>24.999999999999996</v>
      </c>
      <c r="I48" s="58">
        <f t="shared" ca="1" si="33"/>
        <v>25</v>
      </c>
      <c r="J48" s="58">
        <f t="shared" ca="1" si="33"/>
        <v>25</v>
      </c>
      <c r="K48" s="58">
        <f t="shared" ca="1" si="33"/>
        <v>25.000000000000004</v>
      </c>
      <c r="L48" s="58">
        <f t="shared" ca="1" si="33"/>
        <v>25</v>
      </c>
      <c r="M48" s="58">
        <f t="shared" ca="1" si="33"/>
        <v>24.999999999999996</v>
      </c>
      <c r="N48" s="58">
        <f t="shared" ca="1" si="33"/>
        <v>25</v>
      </c>
      <c r="O48" s="58">
        <f t="shared" ca="1" si="33"/>
        <v>24.999999999999996</v>
      </c>
      <c r="P48" s="58">
        <f ca="1">O48</f>
        <v>24.999999999999996</v>
      </c>
      <c r="Q48" s="58">
        <f ca="1">Q$13/IF($P56=0,1,Q56/$P56)/IF($O56=0,1,$O56)*$O43</f>
        <v>24.999999999999996</v>
      </c>
      <c r="R48" s="58">
        <f t="shared" ref="R48:T48" ca="1" si="34">R$13/IF($P56=0,1,R56/$P56)/IF($O56=0,1,$O56)*$O43</f>
        <v>24.999999999999993</v>
      </c>
      <c r="S48" s="58">
        <f t="shared" ca="1" si="34"/>
        <v>24.999999999999989</v>
      </c>
      <c r="T48" s="58">
        <f t="shared" ca="1" si="34"/>
        <v>24.999999999999993</v>
      </c>
    </row>
    <row r="49" spans="1:20" s="6" customFormat="1" ht="16.149999999999999" customHeight="1" x14ac:dyDescent="0.25">
      <c r="A49" s="119"/>
      <c r="B49" s="6" t="s">
        <v>30</v>
      </c>
      <c r="C49" s="72"/>
      <c r="D49" s="58">
        <f t="shared" ref="D49:O49" ca="1" si="35">IF(D$58=0,0,D$33/D$58*D$43)</f>
        <v>15</v>
      </c>
      <c r="E49" s="58">
        <f t="shared" ca="1" si="35"/>
        <v>15</v>
      </c>
      <c r="F49" s="58">
        <f t="shared" ca="1" si="35"/>
        <v>15</v>
      </c>
      <c r="G49" s="58">
        <f t="shared" ca="1" si="35"/>
        <v>15</v>
      </c>
      <c r="H49" s="58">
        <f t="shared" ca="1" si="35"/>
        <v>15</v>
      </c>
      <c r="I49" s="58">
        <f t="shared" ca="1" si="35"/>
        <v>15</v>
      </c>
      <c r="J49" s="58">
        <f t="shared" ca="1" si="35"/>
        <v>15</v>
      </c>
      <c r="K49" s="58">
        <f t="shared" ca="1" si="35"/>
        <v>15.000000000000004</v>
      </c>
      <c r="L49" s="58">
        <f t="shared" ca="1" si="35"/>
        <v>15</v>
      </c>
      <c r="M49" s="58">
        <f t="shared" ca="1" si="35"/>
        <v>15</v>
      </c>
      <c r="N49" s="58">
        <f t="shared" ca="1" si="35"/>
        <v>15</v>
      </c>
      <c r="O49" s="58">
        <f t="shared" ca="1" si="35"/>
        <v>15</v>
      </c>
      <c r="P49" s="58">
        <f ca="1">O49</f>
        <v>15</v>
      </c>
      <c r="Q49" s="58">
        <f ca="1">Q$33/IF($P58=0,1,Q58/$P58)/IF($O58=0,1,$O58)*$O43</f>
        <v>15</v>
      </c>
      <c r="R49" s="58">
        <f t="shared" ref="R49:T49" ca="1" si="36">R$33/IF($P58=0,1,R58/$P58)/IF($O58=0,1,$O58)*$O43</f>
        <v>15</v>
      </c>
      <c r="S49" s="58">
        <f t="shared" ca="1" si="36"/>
        <v>15</v>
      </c>
      <c r="T49" s="58">
        <f t="shared" ca="1" si="36"/>
        <v>14.999999999999996</v>
      </c>
    </row>
    <row r="50" spans="1:20" s="6" customFormat="1" ht="16.149999999999999" customHeight="1" x14ac:dyDescent="0.25">
      <c r="A50" s="119"/>
      <c r="B50" s="6" t="s">
        <v>53</v>
      </c>
      <c r="C50" s="72"/>
      <c r="D50" s="58">
        <f ca="1">IF(D$24=0,0,D$30/D$24)</f>
        <v>3.415356116060567</v>
      </c>
      <c r="E50" s="58">
        <f t="shared" ref="E50:T50" ca="1" si="37">IF(E$24=0,0,E$30/E$24)</f>
        <v>2.4509005092784721</v>
      </c>
      <c r="F50" s="58">
        <f t="shared" ca="1" si="37"/>
        <v>1.8998835479839533</v>
      </c>
      <c r="G50" s="58">
        <f t="shared" ca="1" si="37"/>
        <v>1.5432805092428317</v>
      </c>
      <c r="H50" s="58">
        <f t="shared" ca="1" si="37"/>
        <v>1.2935548666698335</v>
      </c>
      <c r="I50" s="58">
        <f t="shared" ca="1" si="37"/>
        <v>1.1088634876194647</v>
      </c>
      <c r="J50" s="58">
        <f t="shared" ca="1" si="37"/>
        <v>0.96668373923325357</v>
      </c>
      <c r="K50" s="58">
        <f t="shared" ca="1" si="37"/>
        <v>0.85381627905206736</v>
      </c>
      <c r="L50" s="58">
        <f t="shared" ca="1" si="37"/>
        <v>0.76201323785683484</v>
      </c>
      <c r="M50" s="58">
        <f t="shared" ca="1" si="37"/>
        <v>0.68585548278880581</v>
      </c>
      <c r="N50" s="58">
        <f t="shared" ca="1" si="37"/>
        <v>0.6216356828150168</v>
      </c>
      <c r="O50" s="58">
        <f t="shared" ca="1" si="37"/>
        <v>0.70756614201745749</v>
      </c>
      <c r="P50" s="58">
        <f t="shared" ca="1" si="37"/>
        <v>0.70756614201745749</v>
      </c>
      <c r="Q50" s="58">
        <f t="shared" ca="1" si="37"/>
        <v>0.28201865011925664</v>
      </c>
      <c r="R50" s="58">
        <f t="shared" ca="1" si="37"/>
        <v>0.12872331750088914</v>
      </c>
      <c r="S50" s="58">
        <f t="shared" ca="1" si="37"/>
        <v>4.8790978430874724E-2</v>
      </c>
      <c r="T50" s="58">
        <f t="shared" ca="1" si="37"/>
        <v>0</v>
      </c>
    </row>
    <row r="51" spans="1:20" s="61" customFormat="1" ht="16.149999999999999" customHeight="1" x14ac:dyDescent="0.25">
      <c r="A51" s="119"/>
      <c r="B51" s="6"/>
      <c r="C51" s="60"/>
      <c r="D51" s="89"/>
      <c r="E51" s="89"/>
      <c r="F51" s="89"/>
      <c r="G51" s="89"/>
      <c r="H51" s="89"/>
      <c r="I51" s="89"/>
      <c r="J51" s="89"/>
      <c r="K51" s="89"/>
      <c r="L51" s="89"/>
      <c r="M51" s="89"/>
      <c r="N51" s="89"/>
      <c r="O51" s="89"/>
      <c r="P51" s="89"/>
      <c r="Q51" s="89"/>
      <c r="R51" s="89"/>
      <c r="S51" s="89"/>
      <c r="T51" s="89"/>
    </row>
    <row r="52" spans="1:20" s="61" customFormat="1" ht="16.149999999999999" customHeight="1" x14ac:dyDescent="0.25">
      <c r="A52" s="119"/>
      <c r="B52" s="6" t="s">
        <v>221</v>
      </c>
      <c r="C52" s="60"/>
      <c r="D52" s="89"/>
      <c r="E52" s="89"/>
      <c r="F52" s="89"/>
      <c r="G52" s="89"/>
      <c r="H52" s="89"/>
      <c r="I52" s="89"/>
      <c r="J52" s="89"/>
      <c r="K52" s="89"/>
      <c r="L52" s="89"/>
      <c r="M52" s="89"/>
      <c r="N52" s="89"/>
      <c r="O52" s="89"/>
      <c r="P52" s="89"/>
      <c r="Q52" s="89"/>
      <c r="R52" s="89"/>
      <c r="S52" s="89"/>
      <c r="T52" s="89"/>
    </row>
    <row r="53" spans="1:20" s="6" customFormat="1" ht="16.149999999999999" customHeight="1" x14ac:dyDescent="0.25">
      <c r="A53" s="119"/>
      <c r="B53" s="6" t="s">
        <v>31</v>
      </c>
      <c r="C53" s="90">
        <f>Assumptions!$C$47</f>
        <v>30</v>
      </c>
      <c r="D53" s="90">
        <f>Assumptions!$C$47</f>
        <v>30</v>
      </c>
      <c r="E53" s="90">
        <f>Assumptions!$C$47</f>
        <v>30</v>
      </c>
      <c r="F53" s="90">
        <f>Assumptions!$C$47</f>
        <v>30</v>
      </c>
      <c r="G53" s="90">
        <f>Assumptions!$C$47</f>
        <v>30</v>
      </c>
      <c r="H53" s="90">
        <f>Assumptions!$C$47</f>
        <v>30</v>
      </c>
      <c r="I53" s="90">
        <f>Assumptions!$C$47</f>
        <v>30</v>
      </c>
      <c r="J53" s="90">
        <f>Assumptions!$C$47</f>
        <v>30</v>
      </c>
      <c r="K53" s="90">
        <f>Assumptions!$C$47</f>
        <v>30</v>
      </c>
      <c r="L53" s="90">
        <f>Assumptions!$C$47</f>
        <v>30</v>
      </c>
      <c r="M53" s="90">
        <f>Assumptions!$C$47</f>
        <v>30</v>
      </c>
      <c r="N53" s="90">
        <f>Assumptions!$C$47</f>
        <v>30</v>
      </c>
      <c r="O53" s="90">
        <f>Assumptions!$C$47</f>
        <v>30</v>
      </c>
      <c r="P53" s="90">
        <f>Assumptions!$C$47</f>
        <v>30</v>
      </c>
      <c r="Q53" s="90">
        <f>Assumptions!$C$47</f>
        <v>30</v>
      </c>
      <c r="R53" s="90">
        <f>Assumptions!$C$47</f>
        <v>30</v>
      </c>
      <c r="S53" s="90">
        <f>Assumptions!$C$47</f>
        <v>30</v>
      </c>
      <c r="T53" s="90">
        <f>Assumptions!$C$47</f>
        <v>30</v>
      </c>
    </row>
    <row r="54" spans="1:20" s="6" customFormat="1" ht="16.149999999999999" customHeight="1" x14ac:dyDescent="0.25">
      <c r="A54" s="119"/>
      <c r="B54" s="6" t="s">
        <v>209</v>
      </c>
      <c r="C54" s="72"/>
      <c r="D54" s="72">
        <f ca="1">IncState!C10</f>
        <v>1999696531.5497999</v>
      </c>
      <c r="E54" s="72">
        <f ca="1">IncState!D10</f>
        <v>1999696531.5497999</v>
      </c>
      <c r="F54" s="72">
        <f ca="1">IncState!E10</f>
        <v>1999696531.5497999</v>
      </c>
      <c r="G54" s="72">
        <f ca="1">IncState!F10</f>
        <v>1999696531.5497999</v>
      </c>
      <c r="H54" s="72">
        <f ca="1">IncState!G10</f>
        <v>1999696531.5497999</v>
      </c>
      <c r="I54" s="72">
        <f ca="1">IncState!H10</f>
        <v>1999696531.5497999</v>
      </c>
      <c r="J54" s="72">
        <f ca="1">IncState!I10</f>
        <v>1999696531.5497999</v>
      </c>
      <c r="K54" s="72">
        <f ca="1">IncState!J10</f>
        <v>1999696531.5497999</v>
      </c>
      <c r="L54" s="72">
        <f ca="1">IncState!K10</f>
        <v>1999696531.5497999</v>
      </c>
      <c r="M54" s="72">
        <f ca="1">IncState!L10</f>
        <v>1999696531.5497999</v>
      </c>
      <c r="N54" s="72">
        <f ca="1">IncState!M10</f>
        <v>1999696531.5497999</v>
      </c>
      <c r="O54" s="72">
        <f ca="1">IncState!N10</f>
        <v>1999696531.5497999</v>
      </c>
      <c r="P54" s="91">
        <f ca="1">SUM(D54:O54)</f>
        <v>23996358378.597607</v>
      </c>
      <c r="Q54" s="72">
        <f ca="1">IncState!P10</f>
        <v>25052198147.255898</v>
      </c>
      <c r="R54" s="72">
        <f ca="1">IncState!Q10</f>
        <v>27056373999.036373</v>
      </c>
      <c r="S54" s="72">
        <f ca="1">IncState!R10</f>
        <v>28717075575.528954</v>
      </c>
      <c r="T54" s="72">
        <f ca="1">IncState!S10</f>
        <v>31014441621.57127</v>
      </c>
    </row>
    <row r="55" spans="1:20" s="92" customFormat="1" ht="16.149999999999999" customHeight="1" x14ac:dyDescent="0.25">
      <c r="A55" s="137"/>
      <c r="B55" s="74" t="s">
        <v>29</v>
      </c>
      <c r="C55" s="92">
        <f>Assumptions!$C$48</f>
        <v>25</v>
      </c>
      <c r="D55" s="92">
        <f>Assumptions!$C$48</f>
        <v>25</v>
      </c>
      <c r="E55" s="92">
        <f>Assumptions!$C$48</f>
        <v>25</v>
      </c>
      <c r="F55" s="92">
        <f>Assumptions!$C$48</f>
        <v>25</v>
      </c>
      <c r="G55" s="92">
        <f>Assumptions!$C$48</f>
        <v>25</v>
      </c>
      <c r="H55" s="92">
        <f>Assumptions!$C$48</f>
        <v>25</v>
      </c>
      <c r="I55" s="92">
        <f>Assumptions!$C$48</f>
        <v>25</v>
      </c>
      <c r="J55" s="92">
        <f>Assumptions!$C$48</f>
        <v>25</v>
      </c>
      <c r="K55" s="92">
        <f>Assumptions!$C$48</f>
        <v>25</v>
      </c>
      <c r="L55" s="92">
        <f>Assumptions!$C$48</f>
        <v>25</v>
      </c>
      <c r="M55" s="92">
        <f>Assumptions!$C$48</f>
        <v>25</v>
      </c>
      <c r="N55" s="92">
        <f>Assumptions!$C$48</f>
        <v>25</v>
      </c>
      <c r="O55" s="92">
        <f>Assumptions!$C$48</f>
        <v>25</v>
      </c>
      <c r="P55" s="92">
        <f>Assumptions!$C$48</f>
        <v>25</v>
      </c>
      <c r="Q55" s="92">
        <f>Assumptions!$C$48</f>
        <v>25</v>
      </c>
      <c r="R55" s="92">
        <f>Assumptions!$C$48</f>
        <v>25</v>
      </c>
      <c r="S55" s="92">
        <f>Assumptions!$C$48</f>
        <v>25</v>
      </c>
      <c r="T55" s="92">
        <f>Assumptions!$C$48</f>
        <v>25</v>
      </c>
    </row>
    <row r="56" spans="1:20" s="6" customFormat="1" ht="16.149999999999999" customHeight="1" x14ac:dyDescent="0.25">
      <c r="A56" s="119"/>
      <c r="B56" s="6" t="s">
        <v>210</v>
      </c>
      <c r="C56" s="72"/>
      <c r="D56" s="72">
        <f ca="1">(SUMIF(IncState!$A$4:$AO$7,"V1C1*",IncState!C$4:C$7)*(1+Assumptions!$C$57))+(SUMIF(IncState!$A$4:$AO$7,"V2C1*",IncState!C$4:C$7)*(1+Assumptions!$C$58))+(SUMIF(IncState!$A$4:$AO$7,"V3C1*",IncState!C$4:C$7)*(1+Assumptions!$C$59))+(SUMIF(IncState!$A$4:$AO$7,"V4C1*",IncState!C$4:C$7)*(1+Assumptions!$C$60))</f>
        <v>3932736512.0479398</v>
      </c>
      <c r="E56" s="72">
        <f ca="1">(SUMIF(IncState!$A$4:$AO$7,"V1C1*",IncState!D$4:D$7)*(1+Assumptions!$C$57))+(SUMIF(IncState!$A$4:$AO$7,"V2C1*",IncState!D$4:D$7)*(1+Assumptions!$C$58))+(SUMIF(IncState!$A$4:$AO$7,"V3C1*",IncState!D$4:D$7)*(1+Assumptions!$C$59))+(SUMIF(IncState!$A$4:$AO$7,"V4C1*",IncState!D$4:D$7)*(1+Assumptions!$C$60))</f>
        <v>3932736512.0479398</v>
      </c>
      <c r="F56" s="72">
        <f ca="1">(SUMIF(IncState!$A$4:$AO$7,"V1C1*",IncState!E$4:E$7)*(1+Assumptions!$C$57))+(SUMIF(IncState!$A$4:$AO$7,"V2C1*",IncState!E$4:E$7)*(1+Assumptions!$C$58))+(SUMIF(IncState!$A$4:$AO$7,"V3C1*",IncState!E$4:E$7)*(1+Assumptions!$C$59))+(SUMIF(IncState!$A$4:$AO$7,"V4C1*",IncState!E$4:E$7)*(1+Assumptions!$C$60))</f>
        <v>3932736512.0479398</v>
      </c>
      <c r="G56" s="72">
        <f ca="1">(SUMIF(IncState!$A$4:$AO$7,"V1C1*",IncState!F$4:F$7)*(1+Assumptions!$C$57))+(SUMIF(IncState!$A$4:$AO$7,"V2C1*",IncState!F$4:F$7)*(1+Assumptions!$C$58))+(SUMIF(IncState!$A$4:$AO$7,"V3C1*",IncState!F$4:F$7)*(1+Assumptions!$C$59))+(SUMIF(IncState!$A$4:$AO$7,"V4C1*",IncState!F$4:F$7)*(1+Assumptions!$C$60))</f>
        <v>3932736512.0479398</v>
      </c>
      <c r="H56" s="72">
        <f ca="1">(SUMIF(IncState!$A$4:$AO$7,"V1C1*",IncState!G$4:G$7)*(1+Assumptions!$C$57))+(SUMIF(IncState!$A$4:$AO$7,"V2C1*",IncState!G$4:G$7)*(1+Assumptions!$C$58))+(SUMIF(IncState!$A$4:$AO$7,"V3C1*",IncState!G$4:G$7)*(1+Assumptions!$C$59))+(SUMIF(IncState!$A$4:$AO$7,"V4C1*",IncState!G$4:G$7)*(1+Assumptions!$C$60))</f>
        <v>3932736512.0479398</v>
      </c>
      <c r="I56" s="72">
        <f ca="1">(SUMIF(IncState!$A$4:$AO$7,"V1C1*",IncState!H$4:H$7)*(1+Assumptions!$C$57))+(SUMIF(IncState!$A$4:$AO$7,"V2C1*",IncState!H$4:H$7)*(1+Assumptions!$C$58))+(SUMIF(IncState!$A$4:$AO$7,"V3C1*",IncState!H$4:H$7)*(1+Assumptions!$C$59))+(SUMIF(IncState!$A$4:$AO$7,"V4C1*",IncState!H$4:H$7)*(1+Assumptions!$C$60))</f>
        <v>3932736512.0479398</v>
      </c>
      <c r="J56" s="72">
        <f ca="1">(SUMIF(IncState!$A$4:$AO$7,"V1C1*",IncState!I$4:I$7)*(1+Assumptions!$C$57))+(SUMIF(IncState!$A$4:$AO$7,"V2C1*",IncState!I$4:I$7)*(1+Assumptions!$C$58))+(SUMIF(IncState!$A$4:$AO$7,"V3C1*",IncState!I$4:I$7)*(1+Assumptions!$C$59))+(SUMIF(IncState!$A$4:$AO$7,"V4C1*",IncState!I$4:I$7)*(1+Assumptions!$C$60))</f>
        <v>3932736512.0479398</v>
      </c>
      <c r="K56" s="72">
        <f ca="1">(SUMIF(IncState!$A$4:$AO$7,"V1C1*",IncState!J$4:J$7)*(1+Assumptions!$C$57))+(SUMIF(IncState!$A$4:$AO$7,"V2C1*",IncState!J$4:J$7)*(1+Assumptions!$C$58))+(SUMIF(IncState!$A$4:$AO$7,"V3C1*",IncState!J$4:J$7)*(1+Assumptions!$C$59))+(SUMIF(IncState!$A$4:$AO$7,"V4C1*",IncState!J$4:J$7)*(1+Assumptions!$C$60))</f>
        <v>3932736512.0479398</v>
      </c>
      <c r="L56" s="72">
        <f ca="1">(SUMIF(IncState!$A$4:$AO$7,"V1C1*",IncState!K$4:K$7)*(1+Assumptions!$C$57))+(SUMIF(IncState!$A$4:$AO$7,"V2C1*",IncState!K$4:K$7)*(1+Assumptions!$C$58))+(SUMIF(IncState!$A$4:$AO$7,"V3C1*",IncState!K$4:K$7)*(1+Assumptions!$C$59))+(SUMIF(IncState!$A$4:$AO$7,"V4C1*",IncState!K$4:K$7)*(1+Assumptions!$C$60))</f>
        <v>3932736512.0479398</v>
      </c>
      <c r="M56" s="72">
        <f ca="1">(SUMIF(IncState!$A$4:$AO$7,"V1C1*",IncState!L$4:L$7)*(1+Assumptions!$C$57))+(SUMIF(IncState!$A$4:$AO$7,"V2C1*",IncState!L$4:L$7)*(1+Assumptions!$C$58))+(SUMIF(IncState!$A$4:$AO$7,"V3C1*",IncState!L$4:L$7)*(1+Assumptions!$C$59))+(SUMIF(IncState!$A$4:$AO$7,"V4C1*",IncState!L$4:L$7)*(1+Assumptions!$C$60))</f>
        <v>3932736512.0479398</v>
      </c>
      <c r="N56" s="72">
        <f ca="1">(SUMIF(IncState!$A$4:$AO$7,"V1C1*",IncState!M$4:M$7)*(1+Assumptions!$C$57))+(SUMIF(IncState!$A$4:$AO$7,"V2C1*",IncState!M$4:M$7)*(1+Assumptions!$C$58))+(SUMIF(IncState!$A$4:$AO$7,"V3C1*",IncState!M$4:M$7)*(1+Assumptions!$C$59))+(SUMIF(IncState!$A$4:$AO$7,"V4C1*",IncState!M$4:M$7)*(1+Assumptions!$C$60))</f>
        <v>3932736512.0479398</v>
      </c>
      <c r="O56" s="72">
        <f ca="1">(SUMIF(IncState!$A$4:$AO$7,"V1C1*",IncState!N$4:N$7)*(1+Assumptions!$C$57))+(SUMIF(IncState!$A$4:$AO$7,"V2C1*",IncState!N$4:N$7)*(1+Assumptions!$C$58))+(SUMIF(IncState!$A$4:$AO$7,"V3C1*",IncState!N$4:N$7)*(1+Assumptions!$C$59))+(SUMIF(IncState!$A$4:$AO$7,"V4C1*",IncState!N$4:N$7)*(1+Assumptions!$C$60))</f>
        <v>3932736512.0479398</v>
      </c>
      <c r="P56" s="91">
        <f ca="1">SUM(D56:O56)</f>
        <v>47192838144.575287</v>
      </c>
      <c r="Q56" s="72">
        <f ca="1">(SUMIF(IncState!$A$4:$AO$7,"V1C1*",IncState!P$4:P$7)*(1+Assumptions!$C$57))+(SUMIF(IncState!$A$4:$AO$7,"V2C1*",IncState!P$4:P$7)*(1+Assumptions!$C$58))+(SUMIF(IncState!$A$4:$AO$7,"V3C1*",IncState!P$4:P$7)*(1+Assumptions!$C$59))+(SUMIF(IncState!$A$4:$AO$7,"V4C1*",IncState!P$4:P$7)*(1+Assumptions!$C$60))</f>
        <v>50968265196.141304</v>
      </c>
      <c r="R56" s="72">
        <f ca="1">(SUMIF(IncState!$A$4:$AO$7,"V1C1*",IncState!Q$4:Q$7)*(1+Assumptions!$C$57))+(SUMIF(IncState!$A$4:$AO$7,"V2C1*",IncState!Q$4:Q$7)*(1+Assumptions!$C$58))+(SUMIF(IncState!$A$4:$AO$7,"V3C1*",IncState!Q$4:Q$7)*(1+Assumptions!$C$59))+(SUMIF(IncState!$A$4:$AO$7,"V4C1*",IncState!Q$4:Q$7)*(1+Assumptions!$C$60))</f>
        <v>55045726411.832611</v>
      </c>
      <c r="S56" s="72">
        <f ca="1">(SUMIF(IncState!$A$4:$AO$7,"V1C1*",IncState!R$4:R$7)*(1+Assumptions!$C$57))+(SUMIF(IncState!$A$4:$AO$7,"V2C1*",IncState!R$4:R$7)*(1+Assumptions!$C$58))+(SUMIF(IncState!$A$4:$AO$7,"V3C1*",IncState!R$4:R$7)*(1+Assumptions!$C$59))+(SUMIF(IncState!$A$4:$AO$7,"V4C1*",IncState!R$4:R$7)*(1+Assumptions!$C$60))</f>
        <v>59449384524.779228</v>
      </c>
      <c r="T56" s="72">
        <f ca="1">(SUMIF(IncState!$A$4:$AO$7,"V1C1*",IncState!S$4:S$7)*(1+Assumptions!$C$57))+(SUMIF(IncState!$A$4:$AO$7,"V2C1*",IncState!S$4:S$7)*(1+Assumptions!$C$58))+(SUMIF(IncState!$A$4:$AO$7,"V3C1*",IncState!S$4:S$7)*(1+Assumptions!$C$59))+(SUMIF(IncState!$A$4:$AO$7,"V4C1*",IncState!S$4:S$7)*(1+Assumptions!$C$60))</f>
        <v>64205335286.761574</v>
      </c>
    </row>
    <row r="57" spans="1:20" s="92" customFormat="1" ht="16.149999999999999" customHeight="1" x14ac:dyDescent="0.25">
      <c r="A57" s="137"/>
      <c r="B57" s="74" t="s">
        <v>30</v>
      </c>
      <c r="C57" s="92">
        <f>Assumptions!$C$49</f>
        <v>15</v>
      </c>
      <c r="D57" s="92">
        <f>Assumptions!$C$49</f>
        <v>15</v>
      </c>
      <c r="E57" s="92">
        <f>Assumptions!$C$49</f>
        <v>15</v>
      </c>
      <c r="F57" s="92">
        <f>Assumptions!$C$49</f>
        <v>15</v>
      </c>
      <c r="G57" s="92">
        <f>Assumptions!$C$49</f>
        <v>15</v>
      </c>
      <c r="H57" s="92">
        <f>Assumptions!$C$49</f>
        <v>15</v>
      </c>
      <c r="I57" s="92">
        <f>Assumptions!$C$49</f>
        <v>15</v>
      </c>
      <c r="J57" s="92">
        <f>Assumptions!$C$49</f>
        <v>15</v>
      </c>
      <c r="K57" s="92">
        <f>Assumptions!$C$49</f>
        <v>15</v>
      </c>
      <c r="L57" s="92">
        <f>Assumptions!$C$49</f>
        <v>15</v>
      </c>
      <c r="M57" s="92">
        <f>Assumptions!$C$49</f>
        <v>15</v>
      </c>
      <c r="N57" s="92">
        <f>Assumptions!$C$49</f>
        <v>15</v>
      </c>
      <c r="O57" s="92">
        <f>Assumptions!$C$49</f>
        <v>15</v>
      </c>
      <c r="P57" s="92">
        <f>Assumptions!$C$49</f>
        <v>15</v>
      </c>
      <c r="Q57" s="92">
        <f>Assumptions!$C$49</f>
        <v>15</v>
      </c>
      <c r="R57" s="92">
        <f>Assumptions!$C$49</f>
        <v>15</v>
      </c>
      <c r="S57" s="92">
        <f>Assumptions!$C$49</f>
        <v>15</v>
      </c>
      <c r="T57" s="92">
        <f>Assumptions!$C$49</f>
        <v>15</v>
      </c>
    </row>
    <row r="58" spans="1:20" s="6" customFormat="1" ht="16.149999999999999" customHeight="1" x14ac:dyDescent="0.25">
      <c r="A58" s="119"/>
      <c r="B58" s="6" t="s">
        <v>211</v>
      </c>
      <c r="C58" s="72"/>
      <c r="D58" s="72">
        <f ca="1">((SUMIF(IncState!$A$7:$AO$59,"*V1C1*",IncState!C$7:C$59)-SUMIF(CashFlow!$A$27:$AO$31,"*V1C1*",CashFlow!C$27:C$31))*(1+Assumptions!$C$57))+((SUMIF(IncState!$A$7:$AO$59,"*V2C1*",IncState!C$7:C$59)-SUMIF(CashFlow!$A$27:$AO$31,"*V2C1*",CashFlow!C$27:C$31))*(1+Assumptions!$C$58))+((SUMIF(IncState!$A$7:$AO$59,"*V3C1*",IncState!C$7:C$59)-SUMIF(CashFlow!$A$27:$AO$31,"*V3C1*",CashFlow!C$27:C$31))*(1+Assumptions!$C$59))+((SUMIF(IncState!$A$7:$AO$59,"*V4C1*",IncState!C$7:C$59)-SUMIF(CashFlow!$A$27:$AO$31,"*V4C1*",CashFlow!C$27:C$31))*(1+Assumptions!$C$60))</f>
        <v>2370025907.2287636</v>
      </c>
      <c r="E58" s="72">
        <f ca="1">((SUMIF(IncState!$A$7:$AO$59,"*V1C1*",IncState!D$7:D$59)-SUMIF(CashFlow!$A$27:$AO$31,"*V1C1*",CashFlow!D$27:D$31))*(1+Assumptions!$C$57))+((SUMIF(IncState!$A$7:$AO$59,"*V2C1*",IncState!D$7:D$59)-SUMIF(CashFlow!$A$27:$AO$31,"*V2C1*",CashFlow!D$27:D$31))*(1+Assumptions!$C$58))+((SUMIF(IncState!$A$7:$AO$59,"*V3C1*",IncState!D$7:D$59)-SUMIF(CashFlow!$A$27:$AO$31,"*V3C1*",CashFlow!D$27:D$31))*(1+Assumptions!$C$59))+((SUMIF(IncState!$A$7:$AO$59,"*V4C1*",IncState!D$7:D$59)-SUMIF(CashFlow!$A$27:$AO$31,"*V4C1*",CashFlow!D$27:D$31))*(1+Assumptions!$C$60))</f>
        <v>2370025907.2287636</v>
      </c>
      <c r="F58" s="72">
        <f ca="1">((SUMIF(IncState!$A$7:$AO$59,"*V1C1*",IncState!E$7:E$59)-SUMIF(CashFlow!$A$27:$AO$31,"*V1C1*",CashFlow!E$27:E$31))*(1+Assumptions!$C$57))+((SUMIF(IncState!$A$7:$AO$59,"*V2C1*",IncState!E$7:E$59)-SUMIF(CashFlow!$A$27:$AO$31,"*V2C1*",CashFlow!E$27:E$31))*(1+Assumptions!$C$58))+((SUMIF(IncState!$A$7:$AO$59,"*V3C1*",IncState!E$7:E$59)-SUMIF(CashFlow!$A$27:$AO$31,"*V3C1*",CashFlow!E$27:E$31))*(1+Assumptions!$C$59))+((SUMIF(IncState!$A$7:$AO$59,"*V4C1*",IncState!E$7:E$59)-SUMIF(CashFlow!$A$27:$AO$31,"*V4C1*",CashFlow!E$27:E$31))*(1+Assumptions!$C$60))</f>
        <v>2370025907.2287636</v>
      </c>
      <c r="G58" s="72">
        <f ca="1">((SUMIF(IncState!$A$7:$AO$59,"*V1C1*",IncState!F$7:F$59)-SUMIF(CashFlow!$A$27:$AO$31,"*V1C1*",CashFlow!F$27:F$31))*(1+Assumptions!$C$57))+((SUMIF(IncState!$A$7:$AO$59,"*V2C1*",IncState!F$7:F$59)-SUMIF(CashFlow!$A$27:$AO$31,"*V2C1*",CashFlow!F$27:F$31))*(1+Assumptions!$C$58))+((SUMIF(IncState!$A$7:$AO$59,"*V3C1*",IncState!F$7:F$59)-SUMIF(CashFlow!$A$27:$AO$31,"*V3C1*",CashFlow!F$27:F$31))*(1+Assumptions!$C$59))+((SUMIF(IncState!$A$7:$AO$59,"*V4C1*",IncState!F$7:F$59)-SUMIF(CashFlow!$A$27:$AO$31,"*V4C1*",CashFlow!F$27:F$31))*(1+Assumptions!$C$60))</f>
        <v>2370025907.2287636</v>
      </c>
      <c r="H58" s="72">
        <f ca="1">((SUMIF(IncState!$A$7:$AO$59,"*V1C1*",IncState!G$7:G$59)-SUMIF(CashFlow!$A$27:$AO$31,"*V1C1*",CashFlow!G$27:G$31))*(1+Assumptions!$C$57))+((SUMIF(IncState!$A$7:$AO$59,"*V2C1*",IncState!G$7:G$59)-SUMIF(CashFlow!$A$27:$AO$31,"*V2C1*",CashFlow!G$27:G$31))*(1+Assumptions!$C$58))+((SUMIF(IncState!$A$7:$AO$59,"*V3C1*",IncState!G$7:G$59)-SUMIF(CashFlow!$A$27:$AO$31,"*V3C1*",CashFlow!G$27:G$31))*(1+Assumptions!$C$59))+((SUMIF(IncState!$A$7:$AO$59,"*V4C1*",IncState!G$7:G$59)-SUMIF(CashFlow!$A$27:$AO$31,"*V4C1*",CashFlow!G$27:G$31))*(1+Assumptions!$C$60))</f>
        <v>2370025907.2287636</v>
      </c>
      <c r="I58" s="72">
        <f ca="1">((SUMIF(IncState!$A$7:$AO$59,"*V1C1*",IncState!H$7:H$59)-SUMIF(CashFlow!$A$27:$AO$31,"*V1C1*",CashFlow!H$27:H$31))*(1+Assumptions!$C$57))+((SUMIF(IncState!$A$7:$AO$59,"*V2C1*",IncState!H$7:H$59)-SUMIF(CashFlow!$A$27:$AO$31,"*V2C1*",CashFlow!H$27:H$31))*(1+Assumptions!$C$58))+((SUMIF(IncState!$A$7:$AO$59,"*V3C1*",IncState!H$7:H$59)-SUMIF(CashFlow!$A$27:$AO$31,"*V3C1*",CashFlow!H$27:H$31))*(1+Assumptions!$C$59))+((SUMIF(IncState!$A$7:$AO$59,"*V4C1*",IncState!H$7:H$59)-SUMIF(CashFlow!$A$27:$AO$31,"*V4C1*",CashFlow!H$27:H$31))*(1+Assumptions!$C$60))</f>
        <v>2370025907.2287636</v>
      </c>
      <c r="J58" s="72">
        <f ca="1">((SUMIF(IncState!$A$7:$AO$59,"*V1C1*",IncState!I$7:I$59)-SUMIF(CashFlow!$A$27:$AO$31,"*V1C1*",CashFlow!I$27:I$31))*(1+Assumptions!$C$57))+((SUMIF(IncState!$A$7:$AO$59,"*V2C1*",IncState!I$7:I$59)-SUMIF(CashFlow!$A$27:$AO$31,"*V2C1*",CashFlow!I$27:I$31))*(1+Assumptions!$C$58))+((SUMIF(IncState!$A$7:$AO$59,"*V3C1*",IncState!I$7:I$59)-SUMIF(CashFlow!$A$27:$AO$31,"*V3C1*",CashFlow!I$27:I$31))*(1+Assumptions!$C$59))+((SUMIF(IncState!$A$7:$AO$59,"*V4C1*",IncState!I$7:I$59)-SUMIF(CashFlow!$A$27:$AO$31,"*V4C1*",CashFlow!I$27:I$31))*(1+Assumptions!$C$60))</f>
        <v>2370025907.2287636</v>
      </c>
      <c r="K58" s="72">
        <f ca="1">((SUMIF(IncState!$A$7:$AO$59,"*V1C1*",IncState!J$7:J$59)-SUMIF(CashFlow!$A$27:$AO$31,"*V1C1*",CashFlow!J$27:J$31))*(1+Assumptions!$C$57))+((SUMIF(IncState!$A$7:$AO$59,"*V2C1*",IncState!J$7:J$59)-SUMIF(CashFlow!$A$27:$AO$31,"*V2C1*",CashFlow!J$27:J$31))*(1+Assumptions!$C$58))+((SUMIF(IncState!$A$7:$AO$59,"*V3C1*",IncState!J$7:J$59)-SUMIF(CashFlow!$A$27:$AO$31,"*V3C1*",CashFlow!J$27:J$31))*(1+Assumptions!$C$59))+((SUMIF(IncState!$A$7:$AO$59,"*V4C1*",IncState!J$7:J$59)-SUMIF(CashFlow!$A$27:$AO$31,"*V4C1*",CashFlow!J$27:J$31))*(1+Assumptions!$C$60))</f>
        <v>2370025907.2287636</v>
      </c>
      <c r="L58" s="72">
        <f ca="1">((SUMIF(IncState!$A$7:$AO$59,"*V1C1*",IncState!K$7:K$59)-SUMIF(CashFlow!$A$27:$AO$31,"*V1C1*",CashFlow!K$27:K$31))*(1+Assumptions!$C$57))+((SUMIF(IncState!$A$7:$AO$59,"*V2C1*",IncState!K$7:K$59)-SUMIF(CashFlow!$A$27:$AO$31,"*V2C1*",CashFlow!K$27:K$31))*(1+Assumptions!$C$58))+((SUMIF(IncState!$A$7:$AO$59,"*V3C1*",IncState!K$7:K$59)-SUMIF(CashFlow!$A$27:$AO$31,"*V3C1*",CashFlow!K$27:K$31))*(1+Assumptions!$C$59))+((SUMIF(IncState!$A$7:$AO$59,"*V4C1*",IncState!K$7:K$59)-SUMIF(CashFlow!$A$27:$AO$31,"*V4C1*",CashFlow!K$27:K$31))*(1+Assumptions!$C$60))</f>
        <v>2370025907.2287636</v>
      </c>
      <c r="M58" s="72">
        <f ca="1">((SUMIF(IncState!$A$7:$AO$59,"*V1C1*",IncState!L$7:L$59)-SUMIF(CashFlow!$A$27:$AO$31,"*V1C1*",CashFlow!L$27:L$31))*(1+Assumptions!$C$57))+((SUMIF(IncState!$A$7:$AO$59,"*V2C1*",IncState!L$7:L$59)-SUMIF(CashFlow!$A$27:$AO$31,"*V2C1*",CashFlow!L$27:L$31))*(1+Assumptions!$C$58))+((SUMIF(IncState!$A$7:$AO$59,"*V3C1*",IncState!L$7:L$59)-SUMIF(CashFlow!$A$27:$AO$31,"*V3C1*",CashFlow!L$27:L$31))*(1+Assumptions!$C$59))+((SUMIF(IncState!$A$7:$AO$59,"*V4C1*",IncState!L$7:L$59)-SUMIF(CashFlow!$A$27:$AO$31,"*V4C1*",CashFlow!L$27:L$31))*(1+Assumptions!$C$60))</f>
        <v>2370025907.2287636</v>
      </c>
      <c r="N58" s="72">
        <f ca="1">((SUMIF(IncState!$A$7:$AO$59,"*V1C1*",IncState!M$7:M$59)-SUMIF(CashFlow!$A$27:$AO$31,"*V1C1*",CashFlow!M$27:M$31))*(1+Assumptions!$C$57))+((SUMIF(IncState!$A$7:$AO$59,"*V2C1*",IncState!M$7:M$59)-SUMIF(CashFlow!$A$27:$AO$31,"*V2C1*",CashFlow!M$27:M$31))*(1+Assumptions!$C$58))+((SUMIF(IncState!$A$7:$AO$59,"*V3C1*",IncState!M$7:M$59)-SUMIF(CashFlow!$A$27:$AO$31,"*V3C1*",CashFlow!M$27:M$31))*(1+Assumptions!$C$59))+((SUMIF(IncState!$A$7:$AO$59,"*V4C1*",IncState!M$7:M$59)-SUMIF(CashFlow!$A$27:$AO$31,"*V4C1*",CashFlow!M$27:M$31))*(1+Assumptions!$C$60))</f>
        <v>2370025907.2287636</v>
      </c>
      <c r="O58" s="72">
        <f ca="1">((SUMIF(IncState!$A$7:$AO$59,"*V1C1*",IncState!N$7:N$59)-SUMIF(CashFlow!$A$27:$AO$31,"*V1C1*",CashFlow!N$27:N$31))*(1+Assumptions!$C$57))+((SUMIF(IncState!$A$7:$AO$59,"*V2C1*",IncState!N$7:N$59)-SUMIF(CashFlow!$A$27:$AO$31,"*V2C1*",CashFlow!N$27:N$31))*(1+Assumptions!$C$58))+((SUMIF(IncState!$A$7:$AO$59,"*V3C1*",IncState!N$7:N$59)-SUMIF(CashFlow!$A$27:$AO$31,"*V3C1*",CashFlow!N$27:N$31))*(1+Assumptions!$C$59))+((SUMIF(IncState!$A$7:$AO$59,"*V4C1*",IncState!N$7:N$59)-SUMIF(CashFlow!$A$27:$AO$31,"*V4C1*",CashFlow!N$27:N$31))*(1+Assumptions!$C$60))</f>
        <v>2370025907.2287636</v>
      </c>
      <c r="P58" s="91">
        <f ca="1">SUM(D58:O58)</f>
        <v>28440310886.745163</v>
      </c>
      <c r="Q58" s="72">
        <f ca="1">((SUMIF(IncState!$A$7:$AO$59,"*V1C1*",IncState!P$7:P$59)-SUMIF(CashFlow!$A$27:$AO$31,"*V1C1*",CashFlow!P$27:P$31))*(1+Assumptions!$C$57))+((SUMIF(IncState!$A$7:$AO$59,"*V2C1*",IncState!P$7:P$59)-SUMIF(CashFlow!$A$27:$AO$31,"*V2C1*",CashFlow!P$27:P$31))*(1+Assumptions!$C$58))+((SUMIF(IncState!$A$7:$AO$59,"*V3C1*",IncState!P$7:P$59)-SUMIF(CashFlow!$A$27:$AO$31,"*V3C1*",CashFlow!P$27:P$31))*(1+Assumptions!$C$59))+((SUMIF(IncState!$A$7:$AO$59,"*V4C1*",IncState!P$7:P$59)-SUMIF(CashFlow!$A$27:$AO$31,"*V4C1*",CashFlow!P$27:P$31))*(1+Assumptions!$C$60))</f>
        <v>29693678293.761959</v>
      </c>
      <c r="R58" s="72">
        <f ca="1">((SUMIF(IncState!$A$7:$AO$59,"*V1C1*",IncState!Q$7:Q$59)-SUMIF(CashFlow!$A$27:$AO$31,"*V1C1*",CashFlow!Q$27:Q$31))*(1+Assumptions!$C$57))+((SUMIF(IncState!$A$7:$AO$59,"*V2C1*",IncState!Q$7:Q$59)-SUMIF(CashFlow!$A$27:$AO$31,"*V2C1*",CashFlow!Q$27:Q$31))*(1+Assumptions!$C$58))+((SUMIF(IncState!$A$7:$AO$59,"*V3C1*",IncState!Q$7:Q$59)-SUMIF(CashFlow!$A$27:$AO$31,"*V3C1*",CashFlow!Q$27:Q$31))*(1+Assumptions!$C$59))+((SUMIF(IncState!$A$7:$AO$59,"*V4C1*",IncState!Q$7:Q$59)-SUMIF(CashFlow!$A$27:$AO$31,"*V4C1*",CashFlow!Q$27:Q$31))*(1+Assumptions!$C$60))</f>
        <v>32066530867.662918</v>
      </c>
      <c r="S58" s="72">
        <f ca="1">((SUMIF(IncState!$A$7:$AO$59,"*V1C1*",IncState!R$7:R$59)-SUMIF(CashFlow!$A$27:$AO$31,"*V1C1*",CashFlow!R$27:R$31))*(1+Assumptions!$C$57))+((SUMIF(IncState!$A$7:$AO$59,"*V2C1*",IncState!R$7:R$59)-SUMIF(CashFlow!$A$27:$AO$31,"*V2C1*",CashFlow!R$27:R$31))*(1+Assumptions!$C$58))+((SUMIF(IncState!$A$7:$AO$59,"*V3C1*",IncState!R$7:R$59)-SUMIF(CashFlow!$A$27:$AO$31,"*V3C1*",CashFlow!R$27:R$31))*(1+Assumptions!$C$59))+((SUMIF(IncState!$A$7:$AO$59,"*V4C1*",IncState!R$7:R$59)-SUMIF(CashFlow!$A$27:$AO$31,"*V4C1*",CashFlow!R$27:R$31))*(1+Assumptions!$C$60))</f>
        <v>34034559300.852161</v>
      </c>
      <c r="T58" s="72">
        <f ca="1">((SUMIF(IncState!$A$7:$AO$59,"*V1C1*",IncState!S$7:S$59)-SUMIF(CashFlow!$A$27:$AO$31,"*V1C1*",CashFlow!S$27:S$31))*(1+Assumptions!$C$57))+((SUMIF(IncState!$A$7:$AO$59,"*V2C1*",IncState!S$7:S$59)-SUMIF(CashFlow!$A$27:$AO$31,"*V2C1*",CashFlow!S$27:S$31))*(1+Assumptions!$C$58))+((SUMIF(IncState!$A$7:$AO$59,"*V3C1*",IncState!S$7:S$59)-SUMIF(CashFlow!$A$27:$AO$31,"*V3C1*",CashFlow!S$27:S$31))*(1+Assumptions!$C$59))+((SUMIF(IncState!$A$7:$AO$59,"*V4C1*",IncState!S$7:S$59)-SUMIF(CashFlow!$A$27:$AO$31,"*V4C1*",CashFlow!S$27:S$31))*(1+Assumptions!$C$60))</f>
        <v>36754355842.485779</v>
      </c>
    </row>
    <row r="59" spans="1:20" s="6" customFormat="1" ht="16.149999999999999" customHeight="1" x14ac:dyDescent="0.25">
      <c r="A59" s="119"/>
      <c r="B59" s="6" t="s">
        <v>212</v>
      </c>
      <c r="C59" s="72"/>
      <c r="D59" s="72"/>
      <c r="E59" s="72"/>
      <c r="F59" s="72"/>
      <c r="G59" s="72"/>
    </row>
    <row r="60" spans="1:20" s="6" customFormat="1" ht="16.149999999999999" customHeight="1" x14ac:dyDescent="0.25">
      <c r="A60" s="119"/>
      <c r="B60" s="6" t="s">
        <v>213</v>
      </c>
      <c r="C60" s="9" t="str">
        <f ca="1">IF(OR(MONTH(C$4)=Assumptions!$C$62,((MONTH(C$4)-Assumptions!$C$62)/MAX(Assumptions!$C$61,1))-ROUND((MONTH(C$4)-Assumptions!$C$62)/MAX(Assumptions!$C$61,1),0)=0),"Yes","No")</f>
        <v>Yes</v>
      </c>
      <c r="D60" s="9" t="str">
        <f ca="1">IF(OR(MONTH(D$4)=Assumptions!$C$62,((MONTH(D$4)-Assumptions!$C$62)/MAX(Assumptions!$C$61,1))-ROUND((MONTH(D$4)-Assumptions!$C$62)/MAX(Assumptions!$C$61,1),0)=0),"Yes","No")</f>
        <v>Yes</v>
      </c>
      <c r="E60" s="9" t="str">
        <f ca="1">IF(OR(MONTH(E$4)=Assumptions!$C$62,((MONTH(E$4)-Assumptions!$C$62)/MAX(Assumptions!$C$61,1))-ROUND((MONTH(E$4)-Assumptions!$C$62)/MAX(Assumptions!$C$61,1),0)=0),"Yes","No")</f>
        <v>Yes</v>
      </c>
      <c r="F60" s="9" t="str">
        <f ca="1">IF(OR(MONTH(F$4)=Assumptions!$C$62,((MONTH(F$4)-Assumptions!$C$62)/MAX(Assumptions!$C$61,1))-ROUND((MONTH(F$4)-Assumptions!$C$62)/MAX(Assumptions!$C$61,1),0)=0),"Yes","No")</f>
        <v>Yes</v>
      </c>
      <c r="G60" s="9" t="str">
        <f ca="1">IF(OR(MONTH(G$4)=Assumptions!$C$62,((MONTH(G$4)-Assumptions!$C$62)/MAX(Assumptions!$C$61,1))-ROUND((MONTH(G$4)-Assumptions!$C$62)/MAX(Assumptions!$C$61,1),0)=0),"Yes","No")</f>
        <v>Yes</v>
      </c>
      <c r="H60" s="9" t="str">
        <f ca="1">IF(OR(MONTH(H$4)=Assumptions!$C$62,((MONTH(H$4)-Assumptions!$C$62)/MAX(Assumptions!$C$61,1))-ROUND((MONTH(H$4)-Assumptions!$C$62)/MAX(Assumptions!$C$61,1),0)=0),"Yes","No")</f>
        <v>Yes</v>
      </c>
      <c r="I60" s="9" t="str">
        <f ca="1">IF(OR(MONTH(I$4)=Assumptions!$C$62,((MONTH(I$4)-Assumptions!$C$62)/MAX(Assumptions!$C$61,1))-ROUND((MONTH(I$4)-Assumptions!$C$62)/MAX(Assumptions!$C$61,1),0)=0),"Yes","No")</f>
        <v>Yes</v>
      </c>
      <c r="J60" s="9" t="str">
        <f ca="1">IF(OR(MONTH(J$4)=Assumptions!$C$62,((MONTH(J$4)-Assumptions!$C$62)/MAX(Assumptions!$C$61,1))-ROUND((MONTH(J$4)-Assumptions!$C$62)/MAX(Assumptions!$C$61,1),0)=0),"Yes","No")</f>
        <v>Yes</v>
      </c>
      <c r="K60" s="9" t="str">
        <f ca="1">IF(OR(MONTH(K$4)=Assumptions!$C$62,((MONTH(K$4)-Assumptions!$C$62)/MAX(Assumptions!$C$61,1))-ROUND((MONTH(K$4)-Assumptions!$C$62)/MAX(Assumptions!$C$61,1),0)=0),"Yes","No")</f>
        <v>Yes</v>
      </c>
      <c r="L60" s="9" t="str">
        <f ca="1">IF(OR(MONTH(L$4)=Assumptions!$C$62,((MONTH(L$4)-Assumptions!$C$62)/MAX(Assumptions!$C$61,1))-ROUND((MONTH(L$4)-Assumptions!$C$62)/MAX(Assumptions!$C$61,1),0)=0),"Yes","No")</f>
        <v>Yes</v>
      </c>
      <c r="M60" s="9" t="str">
        <f ca="1">IF(OR(MONTH(M$4)=Assumptions!$C$62,((MONTH(M$4)-Assumptions!$C$62)/MAX(Assumptions!$C$61,1))-ROUND((MONTH(M$4)-Assumptions!$C$62)/MAX(Assumptions!$C$61,1),0)=0),"Yes","No")</f>
        <v>Yes</v>
      </c>
      <c r="N60" s="9" t="str">
        <f ca="1">IF(OR(MONTH(N$4)=Assumptions!$C$62,((MONTH(N$4)-Assumptions!$C$62)/MAX(Assumptions!$C$61,1))-ROUND((MONTH(N$4)-Assumptions!$C$62)/MAX(Assumptions!$C$61,1),0)=0),"Yes","No")</f>
        <v>Yes</v>
      </c>
      <c r="O60" s="9" t="str">
        <f ca="1">IF(OR(MONTH(O$4)=Assumptions!$C$62,((MONTH(O$4)-Assumptions!$C$62)/MAX(Assumptions!$C$61,1))-ROUND((MONTH(O$4)-Assumptions!$C$62)/MAX(Assumptions!$C$61,1),0)=0),"Yes","No")</f>
        <v>Yes</v>
      </c>
      <c r="P60" s="93" t="str">
        <f ca="1">$O$60</f>
        <v>Yes</v>
      </c>
      <c r="Q60" s="93" t="str">
        <f t="shared" ref="Q60:T60" ca="1" si="38">$O$60</f>
        <v>Yes</v>
      </c>
      <c r="R60" s="93" t="str">
        <f t="shared" ca="1" si="38"/>
        <v>Yes</v>
      </c>
      <c r="S60" s="93" t="str">
        <f t="shared" ca="1" si="38"/>
        <v>Yes</v>
      </c>
      <c r="T60" s="93" t="str">
        <f t="shared" ca="1" si="38"/>
        <v>Yes</v>
      </c>
    </row>
    <row r="61" spans="1:20" s="6" customFormat="1" ht="16.149999999999999" customHeight="1" x14ac:dyDescent="0.25">
      <c r="A61" s="119"/>
      <c r="B61" s="6" t="s">
        <v>214</v>
      </c>
      <c r="C61" s="94">
        <f ca="1">IF(C60="Yes",1-Assumptions!$D$63,IF(ISTEXT(B61),Assumptions!$C$61-MATCH("Yes",$C$60:$AO$60,0)+COLUMN($B$4),IF(ISBLANK(B61),A61+2,B61+1)))</f>
        <v>1</v>
      </c>
      <c r="D61" s="94">
        <f ca="1">IF(D60="Yes",1-Assumptions!$D$63,IF(ISTEXT(C61),Assumptions!$C$61-MATCH("Yes",$C$60:$AO$60,0)+COLUMN($B$4),IF(ISBLANK(C61),B61+2,C61+1)))</f>
        <v>1</v>
      </c>
      <c r="E61" s="94">
        <f ca="1">IF(E60="Yes",1-Assumptions!$D$63,IF(ISTEXT(D61),Assumptions!$C$61-MATCH("Yes",$C$60:$AO$60,0)+COLUMN($B$4),IF(ISBLANK(D61),C61+2,D61+1)))</f>
        <v>1</v>
      </c>
      <c r="F61" s="94">
        <f ca="1">IF(F60="Yes",1-Assumptions!$D$63,IF(ISTEXT(E61),Assumptions!$C$61-MATCH("Yes",$C$60:$AO$60,0)+COLUMN($B$4),IF(ISBLANK(E61),D61+2,E61+1)))</f>
        <v>1</v>
      </c>
      <c r="G61" s="94">
        <f ca="1">IF(G60="Yes",1-Assumptions!$D$63,IF(ISTEXT(F61),Assumptions!$C$61-MATCH("Yes",$C$60:$AO$60,0)+COLUMN($B$4),IF(ISBLANK(F61),E61+2,F61+1)))</f>
        <v>1</v>
      </c>
      <c r="H61" s="94">
        <f ca="1">IF(H60="Yes",1-Assumptions!$D$63,IF(ISTEXT(G61),Assumptions!$C$61-MATCH("Yes",$C$60:$AO$60,0)+COLUMN($B$4),IF(ISBLANK(G61),F61+2,G61+1)))</f>
        <v>1</v>
      </c>
      <c r="I61" s="94">
        <f ca="1">IF(I60="Yes",1-Assumptions!$D$63,IF(ISTEXT(H61),Assumptions!$C$61-MATCH("Yes",$C$60:$AO$60,0)+COLUMN($B$4),IF(ISBLANK(H61),G61+2,H61+1)))</f>
        <v>1</v>
      </c>
      <c r="J61" s="94">
        <f ca="1">IF(J60="Yes",1-Assumptions!$D$63,IF(ISTEXT(I61),Assumptions!$C$61-MATCH("Yes",$C$60:$AO$60,0)+COLUMN($B$4),IF(ISBLANK(I61),H61+2,I61+1)))</f>
        <v>1</v>
      </c>
      <c r="K61" s="94">
        <f ca="1">IF(K60="Yes",1-Assumptions!$D$63,IF(ISTEXT(J61),Assumptions!$C$61-MATCH("Yes",$C$60:$AO$60,0)+COLUMN($B$4),IF(ISBLANK(J61),I61+2,J61+1)))</f>
        <v>1</v>
      </c>
      <c r="L61" s="94">
        <f ca="1">IF(L60="Yes",1-Assumptions!$D$63,IF(ISTEXT(K61),Assumptions!$C$61-MATCH("Yes",$C$60:$AO$60,0)+COLUMN($B$4),IF(ISBLANK(K61),J61+2,K61+1)))</f>
        <v>1</v>
      </c>
      <c r="M61" s="94">
        <f ca="1">IF(M60="Yes",1-Assumptions!$D$63,IF(ISTEXT(L61),Assumptions!$C$61-MATCH("Yes",$C$60:$AO$60,0)+COLUMN($B$4),IF(ISBLANK(L61),K61+2,L61+1)))</f>
        <v>1</v>
      </c>
      <c r="N61" s="94">
        <f ca="1">IF(N60="Yes",1-Assumptions!$D$63,IF(ISTEXT(M61),Assumptions!$C$61-MATCH("Yes",$C$60:$AO$60,0)+COLUMN($B$4),IF(ISBLANK(M61),L61+2,M61+1)))</f>
        <v>1</v>
      </c>
      <c r="O61" s="94">
        <f ca="1">IF(O60="Yes",1-Assumptions!$D$63,IF(ISTEXT(N61),Assumptions!$C$61-MATCH("Yes",$C$60:$AO$60,0)+COLUMN($B$4),IF(ISBLANK(N61),M61+2,N61+1)))</f>
        <v>1</v>
      </c>
      <c r="P61" s="95">
        <f ca="1">$O$61</f>
        <v>1</v>
      </c>
      <c r="Q61" s="95">
        <f t="shared" ref="Q61:T61" ca="1" si="39">$O$61</f>
        <v>1</v>
      </c>
      <c r="R61" s="95">
        <f t="shared" ca="1" si="39"/>
        <v>1</v>
      </c>
      <c r="S61" s="95">
        <f t="shared" ca="1" si="39"/>
        <v>1</v>
      </c>
      <c r="T61" s="95">
        <f t="shared" ca="1" si="39"/>
        <v>1</v>
      </c>
    </row>
    <row r="62" spans="1:20" s="6" customFormat="1" ht="16.149999999999999" customHeight="1" x14ac:dyDescent="0.25">
      <c r="A62" s="119"/>
      <c r="B62" s="6" t="s">
        <v>215</v>
      </c>
      <c r="C62" s="72">
        <f ca="1">IF(C$34&gt;0,C$34,0)</f>
        <v>0</v>
      </c>
      <c r="D62" s="72">
        <f ca="1">(SUMIF(IncState!$A$4:$AO$7,"V1*",IncState!C$4:C$7)*Assumptions!$C$57)+(SUMIF(IncState!$A$4:$AO$7,"V2*",IncState!C$4:C$7)*Assumptions!$C$58)+(SUMIF(IncState!$A$4:$AO$7,"V3*",IncState!C$4:C$7)*Assumptions!$C$59)+(SUMIF(IncState!$A$4:$AO$7,"V4*",IncState!C$4:C$7)*Assumptions!$C$60)</f>
        <v>599908959.46493995</v>
      </c>
      <c r="E62" s="72">
        <f ca="1">(SUMIF(IncState!$A$4:$AO$7,"V1*",IncState!D$4:D$7)*Assumptions!$C$57)+(SUMIF(IncState!$A$4:$AO$7,"V2*",IncState!D$4:D$7)*Assumptions!$C$58)+(SUMIF(IncState!$A$4:$AO$7,"V3*",IncState!D$4:D$7)*Assumptions!$C$59)+(SUMIF(IncState!$A$4:$AO$7,"V4*",IncState!D$4:D$7)*Assumptions!$C$60)</f>
        <v>599908959.46493995</v>
      </c>
      <c r="F62" s="72">
        <f ca="1">(SUMIF(IncState!$A$4:$AO$7,"V1*",IncState!E$4:E$7)*Assumptions!$C$57)+(SUMIF(IncState!$A$4:$AO$7,"V2*",IncState!E$4:E$7)*Assumptions!$C$58)+(SUMIF(IncState!$A$4:$AO$7,"V3*",IncState!E$4:E$7)*Assumptions!$C$59)+(SUMIF(IncState!$A$4:$AO$7,"V4*",IncState!E$4:E$7)*Assumptions!$C$60)</f>
        <v>599908959.46493995</v>
      </c>
      <c r="G62" s="72">
        <f ca="1">(SUMIF(IncState!$A$4:$AO$7,"V1*",IncState!F$4:F$7)*Assumptions!$C$57)+(SUMIF(IncState!$A$4:$AO$7,"V2*",IncState!F$4:F$7)*Assumptions!$C$58)+(SUMIF(IncState!$A$4:$AO$7,"V3*",IncState!F$4:F$7)*Assumptions!$C$59)+(SUMIF(IncState!$A$4:$AO$7,"V4*",IncState!F$4:F$7)*Assumptions!$C$60)</f>
        <v>599908959.46493995</v>
      </c>
      <c r="H62" s="72">
        <f ca="1">(SUMIF(IncState!$A$4:$AO$7,"V1*",IncState!G$4:G$7)*Assumptions!$C$57)+(SUMIF(IncState!$A$4:$AO$7,"V2*",IncState!G$4:G$7)*Assumptions!$C$58)+(SUMIF(IncState!$A$4:$AO$7,"V3*",IncState!G$4:G$7)*Assumptions!$C$59)+(SUMIF(IncState!$A$4:$AO$7,"V4*",IncState!G$4:G$7)*Assumptions!$C$60)</f>
        <v>599908959.46493995</v>
      </c>
      <c r="I62" s="72">
        <f ca="1">(SUMIF(IncState!$A$4:$AO$7,"V1*",IncState!H$4:H$7)*Assumptions!$C$57)+(SUMIF(IncState!$A$4:$AO$7,"V2*",IncState!H$4:H$7)*Assumptions!$C$58)+(SUMIF(IncState!$A$4:$AO$7,"V3*",IncState!H$4:H$7)*Assumptions!$C$59)+(SUMIF(IncState!$A$4:$AO$7,"V4*",IncState!H$4:H$7)*Assumptions!$C$60)</f>
        <v>599908959.46493995</v>
      </c>
      <c r="J62" s="72">
        <f ca="1">(SUMIF(IncState!$A$4:$AO$7,"V1*",IncState!I$4:I$7)*Assumptions!$C$57)+(SUMIF(IncState!$A$4:$AO$7,"V2*",IncState!I$4:I$7)*Assumptions!$C$58)+(SUMIF(IncState!$A$4:$AO$7,"V3*",IncState!I$4:I$7)*Assumptions!$C$59)+(SUMIF(IncState!$A$4:$AO$7,"V4*",IncState!I$4:I$7)*Assumptions!$C$60)</f>
        <v>599908959.46493995</v>
      </c>
      <c r="K62" s="72">
        <f ca="1">(SUMIF(IncState!$A$4:$AO$7,"V1*",IncState!J$4:J$7)*Assumptions!$C$57)+(SUMIF(IncState!$A$4:$AO$7,"V2*",IncState!J$4:J$7)*Assumptions!$C$58)+(SUMIF(IncState!$A$4:$AO$7,"V3*",IncState!J$4:J$7)*Assumptions!$C$59)+(SUMIF(IncState!$A$4:$AO$7,"V4*",IncState!J$4:J$7)*Assumptions!$C$60)</f>
        <v>599908959.46493995</v>
      </c>
      <c r="L62" s="72">
        <f ca="1">(SUMIF(IncState!$A$4:$AO$7,"V1*",IncState!K$4:K$7)*Assumptions!$C$57)+(SUMIF(IncState!$A$4:$AO$7,"V2*",IncState!K$4:K$7)*Assumptions!$C$58)+(SUMIF(IncState!$A$4:$AO$7,"V3*",IncState!K$4:K$7)*Assumptions!$C$59)+(SUMIF(IncState!$A$4:$AO$7,"V4*",IncState!K$4:K$7)*Assumptions!$C$60)</f>
        <v>599908959.46493995</v>
      </c>
      <c r="M62" s="72">
        <f ca="1">(SUMIF(IncState!$A$4:$AO$7,"V1*",IncState!L$4:L$7)*Assumptions!$C$57)+(SUMIF(IncState!$A$4:$AO$7,"V2*",IncState!L$4:L$7)*Assumptions!$C$58)+(SUMIF(IncState!$A$4:$AO$7,"V3*",IncState!L$4:L$7)*Assumptions!$C$59)+(SUMIF(IncState!$A$4:$AO$7,"V4*",IncState!L$4:L$7)*Assumptions!$C$60)</f>
        <v>599908959.46493995</v>
      </c>
      <c r="N62" s="72">
        <f ca="1">(SUMIF(IncState!$A$4:$AO$7,"V1*",IncState!M$4:M$7)*Assumptions!$C$57)+(SUMIF(IncState!$A$4:$AO$7,"V2*",IncState!M$4:M$7)*Assumptions!$C$58)+(SUMIF(IncState!$A$4:$AO$7,"V3*",IncState!M$4:M$7)*Assumptions!$C$59)+(SUMIF(IncState!$A$4:$AO$7,"V4*",IncState!M$4:M$7)*Assumptions!$C$60)</f>
        <v>599908959.46493995</v>
      </c>
      <c r="O62" s="72">
        <f ca="1">(SUMIF(IncState!$A$4:$AO$7,"V1*",IncState!N$4:N$7)*Assumptions!$C$57)+(SUMIF(IncState!$A$4:$AO$7,"V2*",IncState!N$4:N$7)*Assumptions!$C$58)+(SUMIF(IncState!$A$4:$AO$7,"V3*",IncState!N$4:N$7)*Assumptions!$C$59)+(SUMIF(IncState!$A$4:$AO$7,"V4*",IncState!N$4:N$7)*Assumptions!$C$60)</f>
        <v>599908959.46493995</v>
      </c>
      <c r="P62" s="72">
        <f ca="1">(SUMIF(IncState!$A$4:$AO$7,"V1*",IncState!O$4:O$7)*Assumptions!$C$57)+(SUMIF(IncState!$A$4:$AO$7,"V2*",IncState!O$4:O$7)*Assumptions!$C$58)+(SUMIF(IncState!$A$4:$AO$7,"V3*",IncState!O$4:O$7)*Assumptions!$C$59)+(SUMIF(IncState!$A$4:$AO$7,"V4*",IncState!O$4:O$7)*Assumptions!$C$60)</f>
        <v>7198907513.5792799</v>
      </c>
      <c r="Q62" s="72">
        <f ca="1">(SUMIF(IncState!$A$4:$AO$7,"V1*",IncState!P$4:P$7)*Assumptions!$C$57)+(SUMIF(IncState!$A$4:$AO$7,"V2*",IncState!P$4:P$7)*Assumptions!$C$58)+(SUMIF(IncState!$A$4:$AO$7,"V3*",IncState!P$4:P$7)*Assumptions!$C$59)+(SUMIF(IncState!$A$4:$AO$7,"V4*",IncState!P$4:P$7)*Assumptions!$C$60)</f>
        <v>7774820114.6656227</v>
      </c>
      <c r="R62" s="72">
        <f ca="1">(SUMIF(IncState!$A$4:$AO$7,"V1*",IncState!Q$4:Q$7)*Assumptions!$C$57)+(SUMIF(IncState!$A$4:$AO$7,"V2*",IncState!Q$4:Q$7)*Assumptions!$C$58)+(SUMIF(IncState!$A$4:$AO$7,"V3*",IncState!Q$4:Q$7)*Assumptions!$C$59)+(SUMIF(IncState!$A$4:$AO$7,"V4*",IncState!Q$4:Q$7)*Assumptions!$C$60)</f>
        <v>8396805723.8388739</v>
      </c>
      <c r="S62" s="72">
        <f ca="1">(SUMIF(IncState!$A$4:$AO$7,"V1*",IncState!R$4:R$7)*Assumptions!$C$57)+(SUMIF(IncState!$A$4:$AO$7,"V2*",IncState!R$4:R$7)*Assumptions!$C$58)+(SUMIF(IncState!$A$4:$AO$7,"V3*",IncState!R$4:R$7)*Assumptions!$C$59)+(SUMIF(IncState!$A$4:$AO$7,"V4*",IncState!R$4:R$7)*Assumptions!$C$60)</f>
        <v>9068550181.745985</v>
      </c>
      <c r="T62" s="72">
        <f ca="1">(SUMIF(IncState!$A$4:$AO$7,"V1*",IncState!S$4:S$7)*Assumptions!$C$57)+(SUMIF(IncState!$A$4:$AO$7,"V2*",IncState!S$4:S$7)*Assumptions!$C$58)+(SUMIF(IncState!$A$4:$AO$7,"V3*",IncState!S$4:S$7)*Assumptions!$C$59)+(SUMIF(IncState!$A$4:$AO$7,"V4*",IncState!S$4:S$7)*Assumptions!$C$60)</f>
        <v>9794034196.2856636</v>
      </c>
    </row>
    <row r="63" spans="1:20" s="6" customFormat="1" ht="16.149999999999999" customHeight="1" x14ac:dyDescent="0.25">
      <c r="A63" s="119"/>
      <c r="B63" s="6" t="s">
        <v>216</v>
      </c>
      <c r="C63" s="72">
        <f ca="1">IF(C$34&lt;0,-C$34,0)</f>
        <v>0</v>
      </c>
      <c r="D63" s="72">
        <f ca="1">((SUMIF(IncState!$A$7:$AO$59,"*V1*",IncState!C$7:C$59)-SUMIF(CashFlow!$A$27:$AO$31,"*V1*",CashFlow!C$27:C$31))*Assumptions!$C$57)+((SUMIF(IncState!$A$7:$AO$59,"*V2*",IncState!C$7:C$59)-SUMIF(CashFlow!$A$27:$AO$31,"*V2*",CashFlow!C$27:C$31))*Assumptions!$C$58)+((SUMIF(IncState!$A$7:$AO$59,"*V3*",IncState!C$7:C$59)-SUMIF(CashFlow!$A$27:$AO$31,"*V3*",CashFlow!C$27:C$31))*Assumptions!$C$59)+((SUMIF(IncState!$A$7:$AO$59,"*V4*",IncState!C$7:C$59)-SUMIF(CashFlow!$A$27:$AO$31,"*V4*",CashFlow!C$27:C$31))*Assumptions!$C$60)</f>
        <v>361529375.67896396</v>
      </c>
      <c r="E63" s="72">
        <f ca="1">((SUMIF(IncState!$A$7:$AO$59,"*V1*",IncState!D$7:D$59)-SUMIF(CashFlow!$A$27:$AO$31,"*V1*",CashFlow!D$27:D$31))*Assumptions!$C$57)+((SUMIF(IncState!$A$7:$AO$59,"*V2*",IncState!D$7:D$59)-SUMIF(CashFlow!$A$27:$AO$31,"*V2*",CashFlow!D$27:D$31))*Assumptions!$C$58)+((SUMIF(IncState!$A$7:$AO$59,"*V3*",IncState!D$7:D$59)-SUMIF(CashFlow!$A$27:$AO$31,"*V3*",CashFlow!D$27:D$31))*Assumptions!$C$59)+((SUMIF(IncState!$A$7:$AO$59,"*V4*",IncState!D$7:D$59)-SUMIF(CashFlow!$A$27:$AO$31,"*V4*",CashFlow!D$27:D$31))*Assumptions!$C$60)</f>
        <v>361529375.67896396</v>
      </c>
      <c r="F63" s="72">
        <f ca="1">((SUMIF(IncState!$A$7:$AO$59,"*V1*",IncState!E$7:E$59)-SUMIF(CashFlow!$A$27:$AO$31,"*V1*",CashFlow!E$27:E$31))*Assumptions!$C$57)+((SUMIF(IncState!$A$7:$AO$59,"*V2*",IncState!E$7:E$59)-SUMIF(CashFlow!$A$27:$AO$31,"*V2*",CashFlow!E$27:E$31))*Assumptions!$C$58)+((SUMIF(IncState!$A$7:$AO$59,"*V3*",IncState!E$7:E$59)-SUMIF(CashFlow!$A$27:$AO$31,"*V3*",CashFlow!E$27:E$31))*Assumptions!$C$59)+((SUMIF(IncState!$A$7:$AO$59,"*V4*",IncState!E$7:E$59)-SUMIF(CashFlow!$A$27:$AO$31,"*V4*",CashFlow!E$27:E$31))*Assumptions!$C$60)</f>
        <v>361529375.67896396</v>
      </c>
      <c r="G63" s="72">
        <f ca="1">((SUMIF(IncState!$A$7:$AO$59,"*V1*",IncState!F$7:F$59)-SUMIF(CashFlow!$A$27:$AO$31,"*V1*",CashFlow!F$27:F$31))*Assumptions!$C$57)+((SUMIF(IncState!$A$7:$AO$59,"*V2*",IncState!F$7:F$59)-SUMIF(CashFlow!$A$27:$AO$31,"*V2*",CashFlow!F$27:F$31))*Assumptions!$C$58)+((SUMIF(IncState!$A$7:$AO$59,"*V3*",IncState!F$7:F$59)-SUMIF(CashFlow!$A$27:$AO$31,"*V3*",CashFlow!F$27:F$31))*Assumptions!$C$59)+((SUMIF(IncState!$A$7:$AO$59,"*V4*",IncState!F$7:F$59)-SUMIF(CashFlow!$A$27:$AO$31,"*V4*",CashFlow!F$27:F$31))*Assumptions!$C$60)</f>
        <v>361529375.67896396</v>
      </c>
      <c r="H63" s="72">
        <f ca="1">((SUMIF(IncState!$A$7:$AO$59,"*V1*",IncState!G$7:G$59)-SUMIF(CashFlow!$A$27:$AO$31,"*V1*",CashFlow!G$27:G$31))*Assumptions!$C$57)+((SUMIF(IncState!$A$7:$AO$59,"*V2*",IncState!G$7:G$59)-SUMIF(CashFlow!$A$27:$AO$31,"*V2*",CashFlow!G$27:G$31))*Assumptions!$C$58)+((SUMIF(IncState!$A$7:$AO$59,"*V3*",IncState!G$7:G$59)-SUMIF(CashFlow!$A$27:$AO$31,"*V3*",CashFlow!G$27:G$31))*Assumptions!$C$59)+((SUMIF(IncState!$A$7:$AO$59,"*V4*",IncState!G$7:G$59)-SUMIF(CashFlow!$A$27:$AO$31,"*V4*",CashFlow!G$27:G$31))*Assumptions!$C$60)</f>
        <v>361529375.67896396</v>
      </c>
      <c r="I63" s="72">
        <f ca="1">((SUMIF(IncState!$A$7:$AO$59,"*V1*",IncState!H$7:H$59)-SUMIF(CashFlow!$A$27:$AO$31,"*V1*",CashFlow!H$27:H$31))*Assumptions!$C$57)+((SUMIF(IncState!$A$7:$AO$59,"*V2*",IncState!H$7:H$59)-SUMIF(CashFlow!$A$27:$AO$31,"*V2*",CashFlow!H$27:H$31))*Assumptions!$C$58)+((SUMIF(IncState!$A$7:$AO$59,"*V3*",IncState!H$7:H$59)-SUMIF(CashFlow!$A$27:$AO$31,"*V3*",CashFlow!H$27:H$31))*Assumptions!$C$59)+((SUMIF(IncState!$A$7:$AO$59,"*V4*",IncState!H$7:H$59)-SUMIF(CashFlow!$A$27:$AO$31,"*V4*",CashFlow!H$27:H$31))*Assumptions!$C$60)</f>
        <v>361529375.67896396</v>
      </c>
      <c r="J63" s="72">
        <f ca="1">((SUMIF(IncState!$A$7:$AO$59,"*V1*",IncState!I$7:I$59)-SUMIF(CashFlow!$A$27:$AO$31,"*V1*",CashFlow!I$27:I$31))*Assumptions!$C$57)+((SUMIF(IncState!$A$7:$AO$59,"*V2*",IncState!I$7:I$59)-SUMIF(CashFlow!$A$27:$AO$31,"*V2*",CashFlow!I$27:I$31))*Assumptions!$C$58)+((SUMIF(IncState!$A$7:$AO$59,"*V3*",IncState!I$7:I$59)-SUMIF(CashFlow!$A$27:$AO$31,"*V3*",CashFlow!I$27:I$31))*Assumptions!$C$59)+((SUMIF(IncState!$A$7:$AO$59,"*V4*",IncState!I$7:I$59)-SUMIF(CashFlow!$A$27:$AO$31,"*V4*",CashFlow!I$27:I$31))*Assumptions!$C$60)</f>
        <v>361529375.67896396</v>
      </c>
      <c r="K63" s="72">
        <f ca="1">((SUMIF(IncState!$A$7:$AO$59,"*V1*",IncState!J$7:J$59)-SUMIF(CashFlow!$A$27:$AO$31,"*V1*",CashFlow!J$27:J$31))*Assumptions!$C$57)+((SUMIF(IncState!$A$7:$AO$59,"*V2*",IncState!J$7:J$59)-SUMIF(CashFlow!$A$27:$AO$31,"*V2*",CashFlow!J$27:J$31))*Assumptions!$C$58)+((SUMIF(IncState!$A$7:$AO$59,"*V3*",IncState!J$7:J$59)-SUMIF(CashFlow!$A$27:$AO$31,"*V3*",CashFlow!J$27:J$31))*Assumptions!$C$59)+((SUMIF(IncState!$A$7:$AO$59,"*V4*",IncState!J$7:J$59)-SUMIF(CashFlow!$A$27:$AO$31,"*V4*",CashFlow!J$27:J$31))*Assumptions!$C$60)</f>
        <v>361529375.67896396</v>
      </c>
      <c r="L63" s="72">
        <f ca="1">((SUMIF(IncState!$A$7:$AO$59,"*V1*",IncState!K$7:K$59)-SUMIF(CashFlow!$A$27:$AO$31,"*V1*",CashFlow!K$27:K$31))*Assumptions!$C$57)+((SUMIF(IncState!$A$7:$AO$59,"*V2*",IncState!K$7:K$59)-SUMIF(CashFlow!$A$27:$AO$31,"*V2*",CashFlow!K$27:K$31))*Assumptions!$C$58)+((SUMIF(IncState!$A$7:$AO$59,"*V3*",IncState!K$7:K$59)-SUMIF(CashFlow!$A$27:$AO$31,"*V3*",CashFlow!K$27:K$31))*Assumptions!$C$59)+((SUMIF(IncState!$A$7:$AO$59,"*V4*",IncState!K$7:K$59)-SUMIF(CashFlow!$A$27:$AO$31,"*V4*",CashFlow!K$27:K$31))*Assumptions!$C$60)</f>
        <v>361529375.67896396</v>
      </c>
      <c r="M63" s="72">
        <f ca="1">((SUMIF(IncState!$A$7:$AO$59,"*V1*",IncState!L$7:L$59)-SUMIF(CashFlow!$A$27:$AO$31,"*V1*",CashFlow!L$27:L$31))*Assumptions!$C$57)+((SUMIF(IncState!$A$7:$AO$59,"*V2*",IncState!L$7:L$59)-SUMIF(CashFlow!$A$27:$AO$31,"*V2*",CashFlow!L$27:L$31))*Assumptions!$C$58)+((SUMIF(IncState!$A$7:$AO$59,"*V3*",IncState!L$7:L$59)-SUMIF(CashFlow!$A$27:$AO$31,"*V3*",CashFlow!L$27:L$31))*Assumptions!$C$59)+((SUMIF(IncState!$A$7:$AO$59,"*V4*",IncState!L$7:L$59)-SUMIF(CashFlow!$A$27:$AO$31,"*V4*",CashFlow!L$27:L$31))*Assumptions!$C$60)</f>
        <v>361529375.67896396</v>
      </c>
      <c r="N63" s="72">
        <f ca="1">((SUMIF(IncState!$A$7:$AO$59,"*V1*",IncState!M$7:M$59)-SUMIF(CashFlow!$A$27:$AO$31,"*V1*",CashFlow!M$27:M$31))*Assumptions!$C$57)+((SUMIF(IncState!$A$7:$AO$59,"*V2*",IncState!M$7:M$59)-SUMIF(CashFlow!$A$27:$AO$31,"*V2*",CashFlow!M$27:M$31))*Assumptions!$C$58)+((SUMIF(IncState!$A$7:$AO$59,"*V3*",IncState!M$7:M$59)-SUMIF(CashFlow!$A$27:$AO$31,"*V3*",CashFlow!M$27:M$31))*Assumptions!$C$59)+((SUMIF(IncState!$A$7:$AO$59,"*V4*",IncState!M$7:M$59)-SUMIF(CashFlow!$A$27:$AO$31,"*V4*",CashFlow!M$27:M$31))*Assumptions!$C$60)</f>
        <v>361529375.67896396</v>
      </c>
      <c r="O63" s="72">
        <f ca="1">((SUMIF(IncState!$A$7:$AO$59,"*V1*",IncState!N$7:N$59)-SUMIF(CashFlow!$A$27:$AO$31,"*V1*",CashFlow!N$27:N$31))*Assumptions!$C$57)+((SUMIF(IncState!$A$7:$AO$59,"*V2*",IncState!N$7:N$59)-SUMIF(CashFlow!$A$27:$AO$31,"*V2*",CashFlow!N$27:N$31))*Assumptions!$C$58)+((SUMIF(IncState!$A$7:$AO$59,"*V3*",IncState!N$7:N$59)-SUMIF(CashFlow!$A$27:$AO$31,"*V3*",CashFlow!N$27:N$31))*Assumptions!$C$59)+((SUMIF(IncState!$A$7:$AO$59,"*V4*",IncState!N$7:N$59)-SUMIF(CashFlow!$A$27:$AO$31,"*V4*",CashFlow!N$27:N$31))*Assumptions!$C$60)</f>
        <v>361529375.67896396</v>
      </c>
      <c r="P63" s="72">
        <f ca="1">((SUMIF(IncState!$A$7:$AO$59,"*V1*",IncState!O$7:O$59)-SUMIF(CashFlow!$A$27:$AO$31,"*V1*",CashFlow!O$27:O$31))*Assumptions!$C$57)+((SUMIF(IncState!$A$7:$AO$59,"*V2*",IncState!O$7:O$59)-SUMIF(CashFlow!$A$27:$AO$31,"*V2*",CashFlow!O$27:O$31))*Assumptions!$C$58)+((SUMIF(IncState!$A$7:$AO$59,"*V3*",IncState!O$7:O$59)-SUMIF(CashFlow!$A$27:$AO$31,"*V3*",CashFlow!O$27:O$31))*Assumptions!$C$59)+((SUMIF(IncState!$A$7:$AO$59,"*V4*",IncState!O$7:O$59)-SUMIF(CashFlow!$A$27:$AO$31,"*V4*",CashFlow!O$27:O$31))*Assumptions!$C$60)</f>
        <v>4338352508.1475687</v>
      </c>
      <c r="Q63" s="72">
        <f ca="1">((SUMIF(IncState!$A$7:$AO$59,"*V1*",IncState!P$7:P$59)-SUMIF(CashFlow!$A$27:$AO$31,"*V1*",CashFlow!P$27:P$31))*Assumptions!$C$57)+((SUMIF(IncState!$A$7:$AO$59,"*V2*",IncState!P$7:P$59)-SUMIF(CashFlow!$A$27:$AO$31,"*V2*",CashFlow!P$27:P$31))*Assumptions!$C$58)+((SUMIF(IncState!$A$7:$AO$59,"*V3*",IncState!P$7:P$59)-SUMIF(CashFlow!$A$27:$AO$31,"*V3*",CashFlow!P$27:P$31))*Assumptions!$C$59)+((SUMIF(IncState!$A$7:$AO$59,"*V4*",IncState!P$7:P$59)-SUMIF(CashFlow!$A$27:$AO$31,"*V4*",CashFlow!P$27:P$31))*Assumptions!$C$60)</f>
        <v>4529544146.5060616</v>
      </c>
      <c r="R63" s="72">
        <f ca="1">((SUMIF(IncState!$A$7:$AO$59,"*V1*",IncState!Q$7:Q$59)-SUMIF(CashFlow!$A$27:$AO$31,"*V1*",CashFlow!Q$27:Q$31))*Assumptions!$C$57)+((SUMIF(IncState!$A$7:$AO$59,"*V2*",IncState!Q$7:Q$59)-SUMIF(CashFlow!$A$27:$AO$31,"*V2*",CashFlow!Q$27:Q$31))*Assumptions!$C$58)+((SUMIF(IncState!$A$7:$AO$59,"*V3*",IncState!Q$7:Q$59)-SUMIF(CashFlow!$A$27:$AO$31,"*V3*",CashFlow!Q$27:Q$31))*Assumptions!$C$59)+((SUMIF(IncState!$A$7:$AO$59,"*V4*",IncState!Q$7:Q$59)-SUMIF(CashFlow!$A$27:$AO$31,"*V4*",CashFlow!Q$27:Q$31))*Assumptions!$C$60)</f>
        <v>4891504708.6265469</v>
      </c>
      <c r="S63" s="72">
        <f ca="1">((SUMIF(IncState!$A$7:$AO$59,"*V1*",IncState!R$7:R$59)-SUMIF(CashFlow!$A$27:$AO$31,"*V1*",CashFlow!R$27:R$31))*Assumptions!$C$57)+((SUMIF(IncState!$A$7:$AO$59,"*V2*",IncState!R$7:R$59)-SUMIF(CashFlow!$A$27:$AO$31,"*V2*",CashFlow!R$27:R$31))*Assumptions!$C$58)+((SUMIF(IncState!$A$7:$AO$59,"*V3*",IncState!R$7:R$59)-SUMIF(CashFlow!$A$27:$AO$31,"*V3*",CashFlow!R$27:R$31))*Assumptions!$C$59)+((SUMIF(IncState!$A$7:$AO$59,"*V4*",IncState!R$7:R$59)-SUMIF(CashFlow!$A$27:$AO$31,"*V4*",CashFlow!R$27:R$31))*Assumptions!$C$60)</f>
        <v>5191712435.7232113</v>
      </c>
      <c r="T63" s="72">
        <f ca="1">((SUMIF(IncState!$A$7:$AO$59,"*V1*",IncState!S$7:S$59)-SUMIF(CashFlow!$A$27:$AO$31,"*V1*",CashFlow!S$27:S$31))*Assumptions!$C$57)+((SUMIF(IncState!$A$7:$AO$59,"*V2*",IncState!S$7:S$59)-SUMIF(CashFlow!$A$27:$AO$31,"*V2*",CashFlow!S$27:S$31))*Assumptions!$C$58)+((SUMIF(IncState!$A$7:$AO$59,"*V3*",IncState!S$7:S$59)-SUMIF(CashFlow!$A$27:$AO$31,"*V3*",CashFlow!S$27:S$31))*Assumptions!$C$59)+((SUMIF(IncState!$A$7:$AO$59,"*V4*",IncState!S$7:S$59)-SUMIF(CashFlow!$A$27:$AO$31,"*V4*",CashFlow!S$27:S$31))*Assumptions!$C$60)</f>
        <v>5606596653.938509</v>
      </c>
    </row>
    <row r="64" spans="1:20" s="6" customFormat="1" ht="16.149999999999999" customHeight="1" x14ac:dyDescent="0.25">
      <c r="A64" s="119"/>
      <c r="B64" s="6" t="s">
        <v>217</v>
      </c>
      <c r="C64" s="72"/>
      <c r="D64" s="72"/>
      <c r="E64" s="72"/>
      <c r="F64" s="72"/>
      <c r="G64" s="72"/>
    </row>
    <row r="65" spans="1:20" s="6" customFormat="1" ht="16.149999999999999" customHeight="1" x14ac:dyDescent="0.25">
      <c r="A65" s="119"/>
      <c r="B65" s="6" t="s">
        <v>213</v>
      </c>
      <c r="C65" s="9" t="str">
        <f ca="1">IF(OR(MONTH(C$4)=Assumptions!$C$68,((MONTH(C$4)-Assumptions!$C$68)/MAX(Assumptions!$C$67,1))-ROUND((MONTH(C$4)-Assumptions!$C$68)/MAX(Assumptions!$C$67,1),0)=0),"Yes","No")</f>
        <v>No</v>
      </c>
      <c r="D65" s="9" t="str">
        <f ca="1">IF(OR(MONTH(D$4)=Assumptions!$C$68,((MONTH(D$4)-Assumptions!$C$68)/MAX(Assumptions!$C$67,1))-ROUND((MONTH(D$4)-Assumptions!$C$68)/MAX(Assumptions!$C$67,1),0)=0),"Yes","No")</f>
        <v>No</v>
      </c>
      <c r="E65" s="9" t="str">
        <f ca="1">IF(OR(MONTH(E$4)=Assumptions!$C$68,((MONTH(E$4)-Assumptions!$C$68)/MAX(Assumptions!$C$67,1))-ROUND((MONTH(E$4)-Assumptions!$C$68)/MAX(Assumptions!$C$67,1),0)=0),"Yes","No")</f>
        <v>No</v>
      </c>
      <c r="F65" s="9" t="str">
        <f ca="1">IF(OR(MONTH(F$4)=Assumptions!$C$68,((MONTH(F$4)-Assumptions!$C$68)/MAX(Assumptions!$C$67,1))-ROUND((MONTH(F$4)-Assumptions!$C$68)/MAX(Assumptions!$C$67,1),0)=0),"Yes","No")</f>
        <v>No</v>
      </c>
      <c r="G65" s="9" t="str">
        <f ca="1">IF(OR(MONTH(G$4)=Assumptions!$C$68,((MONTH(G$4)-Assumptions!$C$68)/MAX(Assumptions!$C$67,1))-ROUND((MONTH(G$4)-Assumptions!$C$68)/MAX(Assumptions!$C$67,1),0)=0),"Yes","No")</f>
        <v>No</v>
      </c>
      <c r="H65" s="9" t="str">
        <f ca="1">IF(OR(MONTH(H$4)=Assumptions!$C$68,((MONTH(H$4)-Assumptions!$C$68)/MAX(Assumptions!$C$67,1))-ROUND((MONTH(H$4)-Assumptions!$C$68)/MAX(Assumptions!$C$67,1),0)=0),"Yes","No")</f>
        <v>No</v>
      </c>
      <c r="I65" s="9" t="str">
        <f ca="1">IF(OR(MONTH(I$4)=Assumptions!$C$68,((MONTH(I$4)-Assumptions!$C$68)/MAX(Assumptions!$C$67,1))-ROUND((MONTH(I$4)-Assumptions!$C$68)/MAX(Assumptions!$C$67,1),0)=0),"Yes","No")</f>
        <v>Yes</v>
      </c>
      <c r="J65" s="9" t="str">
        <f ca="1">IF(OR(MONTH(J$4)=Assumptions!$C$68,((MONTH(J$4)-Assumptions!$C$68)/MAX(Assumptions!$C$67,1))-ROUND((MONTH(J$4)-Assumptions!$C$68)/MAX(Assumptions!$C$67,1),0)=0),"Yes","No")</f>
        <v>No</v>
      </c>
      <c r="K65" s="9" t="str">
        <f ca="1">IF(OR(MONTH(K$4)=Assumptions!$C$68,((MONTH(K$4)-Assumptions!$C$68)/MAX(Assumptions!$C$67,1))-ROUND((MONTH(K$4)-Assumptions!$C$68)/MAX(Assumptions!$C$67,1),0)=0),"Yes","No")</f>
        <v>No</v>
      </c>
      <c r="L65" s="9" t="str">
        <f ca="1">IF(OR(MONTH(L$4)=Assumptions!$C$68,((MONTH(L$4)-Assumptions!$C$68)/MAX(Assumptions!$C$67,1))-ROUND((MONTH(L$4)-Assumptions!$C$68)/MAX(Assumptions!$C$67,1),0)=0),"Yes","No")</f>
        <v>No</v>
      </c>
      <c r="M65" s="9" t="str">
        <f ca="1">IF(OR(MONTH(M$4)=Assumptions!$C$68,((MONTH(M$4)-Assumptions!$C$68)/MAX(Assumptions!$C$67,1))-ROUND((MONTH(M$4)-Assumptions!$C$68)/MAX(Assumptions!$C$67,1),0)=0),"Yes","No")</f>
        <v>No</v>
      </c>
      <c r="N65" s="9" t="str">
        <f ca="1">IF(OR(MONTH(N$4)=Assumptions!$C$68,((MONTH(N$4)-Assumptions!$C$68)/MAX(Assumptions!$C$67,1))-ROUND((MONTH(N$4)-Assumptions!$C$68)/MAX(Assumptions!$C$67,1),0)=0),"Yes","No")</f>
        <v>No</v>
      </c>
      <c r="O65" s="9" t="str">
        <f ca="1">IF(OR(MONTH(O$4)=Assumptions!$C$68,((MONTH(O$4)-Assumptions!$C$68)/MAX(Assumptions!$C$67,1))-ROUND((MONTH(O$4)-Assumptions!$C$68)/MAX(Assumptions!$C$67,1),0)=0),"Yes","No")</f>
        <v>No</v>
      </c>
      <c r="P65" s="93" t="str">
        <f ca="1">$O$65</f>
        <v>No</v>
      </c>
      <c r="Q65" s="93" t="str">
        <f t="shared" ref="Q65:T65" ca="1" si="40">$O$65</f>
        <v>No</v>
      </c>
      <c r="R65" s="93" t="str">
        <f t="shared" ca="1" si="40"/>
        <v>No</v>
      </c>
      <c r="S65" s="93" t="str">
        <f t="shared" ca="1" si="40"/>
        <v>No</v>
      </c>
      <c r="T65" s="93" t="str">
        <f t="shared" ca="1" si="40"/>
        <v>No</v>
      </c>
    </row>
    <row r="66" spans="1:20" s="95" customFormat="1" ht="16.149999999999999" customHeight="1" x14ac:dyDescent="0.25">
      <c r="A66" s="138"/>
      <c r="B66" s="96" t="s">
        <v>214</v>
      </c>
      <c r="C66" s="94">
        <f ca="1">IF(C65="Yes",1-Assumptions!$D$69,IF(ISTEXT(B66),Assumptions!$C$67-MATCH("Yes",$C$65:$AO$65,0)+COLUMN($B$4),IF(ISBLANK(B66),A66+2,B66+1)))</f>
        <v>7</v>
      </c>
      <c r="D66" s="94">
        <f ca="1">IF(D65="Yes",1-Assumptions!$D$69,IF(ISTEXT(C66),Assumptions!$C$67-MATCH("Yes",$C$65:$AO$65,0)+COLUMN($B$4),IF(ISBLANK(C66),B66+2,C66+1)))</f>
        <v>8</v>
      </c>
      <c r="E66" s="94">
        <f ca="1">IF(E65="Yes",1-Assumptions!$D$69,IF(ISTEXT(D66),Assumptions!$C$67-MATCH("Yes",$C$65:$AO$65,0)+COLUMN($B$4),IF(ISBLANK(D66),C66+2,D66+1)))</f>
        <v>9</v>
      </c>
      <c r="F66" s="94">
        <f ca="1">IF(F65="Yes",1-Assumptions!$D$69,IF(ISTEXT(E66),Assumptions!$C$67-MATCH("Yes",$C$65:$AO$65,0)+COLUMN($B$4),IF(ISBLANK(E66),D66+2,E66+1)))</f>
        <v>10</v>
      </c>
      <c r="G66" s="94">
        <f ca="1">IF(G65="Yes",1-Assumptions!$D$69,IF(ISTEXT(F66),Assumptions!$C$67-MATCH("Yes",$C$65:$AO$65,0)+COLUMN($B$4),IF(ISBLANK(F66),E66+2,F66+1)))</f>
        <v>11</v>
      </c>
      <c r="H66" s="94">
        <f ca="1">IF(H65="Yes",1-Assumptions!$D$69,IF(ISTEXT(G66),Assumptions!$C$67-MATCH("Yes",$C$65:$AO$65,0)+COLUMN($B$4),IF(ISBLANK(G66),F66+2,G66+1)))</f>
        <v>12</v>
      </c>
      <c r="I66" s="94">
        <f ca="1">IF(I65="Yes",1-Assumptions!$D$69,IF(ISTEXT(H66),Assumptions!$C$67-MATCH("Yes",$C$65:$AO$65,0)+COLUMN($B$4),IF(ISBLANK(H66),G66+2,H66+1)))</f>
        <v>0</v>
      </c>
      <c r="J66" s="94">
        <f ca="1">IF(J65="Yes",1-Assumptions!$D$69,IF(ISTEXT(I66),Assumptions!$C$67-MATCH("Yes",$C$65:$AO$65,0)+COLUMN($B$4),IF(ISBLANK(I66),H66+2,I66+1)))</f>
        <v>1</v>
      </c>
      <c r="K66" s="94">
        <f ca="1">IF(K65="Yes",1-Assumptions!$D$69,IF(ISTEXT(J66),Assumptions!$C$67-MATCH("Yes",$C$65:$AO$65,0)+COLUMN($B$4),IF(ISBLANK(J66),I66+2,J66+1)))</f>
        <v>2</v>
      </c>
      <c r="L66" s="94">
        <f ca="1">IF(L65="Yes",1-Assumptions!$D$69,IF(ISTEXT(K66),Assumptions!$C$67-MATCH("Yes",$C$65:$AO$65,0)+COLUMN($B$4),IF(ISBLANK(K66),J66+2,K66+1)))</f>
        <v>3</v>
      </c>
      <c r="M66" s="94">
        <f ca="1">IF(M65="Yes",1-Assumptions!$D$69,IF(ISTEXT(L66),Assumptions!$C$67-MATCH("Yes",$C$65:$AO$65,0)+COLUMN($B$4),IF(ISBLANK(L66),K66+2,L66+1)))</f>
        <v>4</v>
      </c>
      <c r="N66" s="94">
        <f ca="1">IF(N65="Yes",1-Assumptions!$D$69,IF(ISTEXT(M66),Assumptions!$C$67-MATCH("Yes",$C$65:$AO$65,0)+COLUMN($B$4),IF(ISBLANK(M66),L66+2,M66+1)))</f>
        <v>5</v>
      </c>
      <c r="O66" s="94">
        <f ca="1">IF(O65="Yes",1-Assumptions!$D$69,IF(ISTEXT(N66),Assumptions!$C$67-MATCH("Yes",$C$65:$AO$65,0)+COLUMN($B$4),IF(ISBLANK(N66),M66+2,N66+1)))</f>
        <v>6</v>
      </c>
      <c r="P66" s="95">
        <f ca="1">$O$66</f>
        <v>6</v>
      </c>
      <c r="Q66" s="95">
        <f ca="1">$O$66</f>
        <v>6</v>
      </c>
      <c r="R66" s="95">
        <f t="shared" ref="R66:T66" ca="1" si="41">$O$66</f>
        <v>6</v>
      </c>
      <c r="S66" s="95">
        <f t="shared" ca="1" si="41"/>
        <v>6</v>
      </c>
      <c r="T66" s="95">
        <f t="shared" ca="1" si="41"/>
        <v>6</v>
      </c>
    </row>
    <row r="67" spans="1:20" s="6" customFormat="1" ht="16.149999999999999" customHeight="1" x14ac:dyDescent="0.25">
      <c r="A67" s="119"/>
      <c r="B67" s="6" t="s">
        <v>218</v>
      </c>
      <c r="C67" s="72">
        <f ca="1">C37</f>
        <v>0</v>
      </c>
      <c r="D67" s="72">
        <f ca="1">IncState!C58</f>
        <v>335240106.67236006</v>
      </c>
      <c r="E67" s="72">
        <f ca="1">IncState!D58</f>
        <v>335504506.22271895</v>
      </c>
      <c r="F67" s="72">
        <f ca="1">IncState!E58</f>
        <v>335771549.76858163</v>
      </c>
      <c r="G67" s="72">
        <f ca="1">IncState!F58</f>
        <v>336041263.74990284</v>
      </c>
      <c r="H67" s="72">
        <f ca="1">IncState!G58</f>
        <v>336313674.87103701</v>
      </c>
      <c r="I67" s="72">
        <f ca="1">IncState!H58</f>
        <v>336588810.10338283</v>
      </c>
      <c r="J67" s="72">
        <f ca="1">IncState!I58</f>
        <v>336866696.68805218</v>
      </c>
      <c r="K67" s="72">
        <f ca="1">IncState!J58</f>
        <v>337147362.1385684</v>
      </c>
      <c r="L67" s="72">
        <f ca="1">IncState!K58</f>
        <v>337430834.24358892</v>
      </c>
      <c r="M67" s="72">
        <f ca="1">IncState!L58</f>
        <v>337717141.06966019</v>
      </c>
      <c r="N67" s="72">
        <f ca="1">IncState!M58</f>
        <v>338006310.9639926</v>
      </c>
      <c r="O67" s="72">
        <f ca="1">IncState!N58</f>
        <v>254044685.05726767</v>
      </c>
      <c r="P67" s="72">
        <f ca="1">IncState!O58</f>
        <v>3956672941.5491133</v>
      </c>
      <c r="Q67" s="72">
        <f ca="1">IncState!P58</f>
        <v>4611266766.6854324</v>
      </c>
      <c r="R67" s="72">
        <f ca="1">IncState!Q58</f>
        <v>5061679505.6839743</v>
      </c>
      <c r="S67" s="72">
        <f ca="1">IncState!R58</f>
        <v>5702169642.2413654</v>
      </c>
      <c r="T67" s="72">
        <f ca="1">IncState!S58</f>
        <v>6245982423.9052505</v>
      </c>
    </row>
    <row r="68" spans="1:20" s="6" customFormat="1" ht="16.149999999999999" customHeight="1" x14ac:dyDescent="0.25">
      <c r="A68" s="119"/>
      <c r="B68" s="6" t="s">
        <v>219</v>
      </c>
      <c r="C68" s="72"/>
      <c r="D68" s="72"/>
      <c r="E68" s="72"/>
      <c r="F68" s="72"/>
      <c r="G68" s="72"/>
    </row>
    <row r="69" spans="1:20" s="46" customFormat="1" ht="16.149999999999999" customHeight="1" x14ac:dyDescent="0.25">
      <c r="A69" s="139"/>
      <c r="B69" s="97" t="s">
        <v>220</v>
      </c>
      <c r="D69" s="46">
        <f>Assumptions!$C$51</f>
        <v>0.2</v>
      </c>
      <c r="E69" s="46">
        <f>Assumptions!$C$51</f>
        <v>0.2</v>
      </c>
      <c r="F69" s="46">
        <f>Assumptions!$C$51</f>
        <v>0.2</v>
      </c>
      <c r="G69" s="46">
        <f>Assumptions!$C$51</f>
        <v>0.2</v>
      </c>
      <c r="H69" s="46">
        <f>Assumptions!$C$51</f>
        <v>0.2</v>
      </c>
      <c r="I69" s="46">
        <f>Assumptions!$C$51</f>
        <v>0.2</v>
      </c>
      <c r="J69" s="46">
        <f>Assumptions!$C$51</f>
        <v>0.2</v>
      </c>
      <c r="K69" s="46">
        <f>Assumptions!$C$51</f>
        <v>0.2</v>
      </c>
      <c r="L69" s="46">
        <f>Assumptions!$C$51</f>
        <v>0.2</v>
      </c>
      <c r="M69" s="46">
        <f>Assumptions!$C$51</f>
        <v>0.2</v>
      </c>
      <c r="N69" s="46">
        <f>Assumptions!$C$51</f>
        <v>0.2</v>
      </c>
      <c r="O69" s="46">
        <f>Assumptions!$C$51</f>
        <v>0.2</v>
      </c>
      <c r="P69" s="46">
        <f>Assumptions!$C$51</f>
        <v>0.2</v>
      </c>
      <c r="Q69" s="46">
        <f>Assumptions!$C$51</f>
        <v>0.2</v>
      </c>
      <c r="R69" s="46">
        <f>Assumptions!$C$51</f>
        <v>0.2</v>
      </c>
      <c r="S69" s="46">
        <f>Assumptions!$C$51</f>
        <v>0.2</v>
      </c>
      <c r="T69" s="46">
        <f>Assumptions!$C$51</f>
        <v>0.2</v>
      </c>
    </row>
    <row r="70" spans="1:20" s="6" customFormat="1" ht="16.149999999999999" customHeight="1" x14ac:dyDescent="0.25">
      <c r="A70" s="119"/>
      <c r="B70" s="6" t="s">
        <v>213</v>
      </c>
      <c r="C70" s="9" t="str">
        <f ca="1">IF(OR(MONTH(C$4)=Assumptions!$C$53,((MONTH(C$4)-Assumptions!$C$53)/MAX(Assumptions!$C$52,1))-ROUND((MONTH(C$4)-Assumptions!$C$53)/MAX(Assumptions!$C$52,1),0)=0),"Yes","No")</f>
        <v>Yes</v>
      </c>
      <c r="D70" s="9" t="str">
        <f ca="1">IF(OR(MONTH(D$4)=Assumptions!$C$53,((MONTH(D$4)-Assumptions!$C$53)/MAX(Assumptions!$C$52,1))-ROUND((MONTH(D$4)-Assumptions!$C$53)/MAX(Assumptions!$C$52,1),0)=0),"Yes","No")</f>
        <v>Yes</v>
      </c>
      <c r="E70" s="9" t="str">
        <f ca="1">IF(OR(MONTH(E$4)=Assumptions!$C$53,((MONTH(E$4)-Assumptions!$C$53)/MAX(Assumptions!$C$52,1))-ROUND((MONTH(E$4)-Assumptions!$C$53)/MAX(Assumptions!$C$52,1),0)=0),"Yes","No")</f>
        <v>Yes</v>
      </c>
      <c r="F70" s="9" t="str">
        <f ca="1">IF(OR(MONTH(F$4)=Assumptions!$C$53,((MONTH(F$4)-Assumptions!$C$53)/MAX(Assumptions!$C$52,1))-ROUND((MONTH(F$4)-Assumptions!$C$53)/MAX(Assumptions!$C$52,1),0)=0),"Yes","No")</f>
        <v>Yes</v>
      </c>
      <c r="G70" s="9" t="str">
        <f ca="1">IF(OR(MONTH(G$4)=Assumptions!$C$53,((MONTH(G$4)-Assumptions!$C$53)/MAX(Assumptions!$C$52,1))-ROUND((MONTH(G$4)-Assumptions!$C$53)/MAX(Assumptions!$C$52,1),0)=0),"Yes","No")</f>
        <v>Yes</v>
      </c>
      <c r="H70" s="9" t="str">
        <f ca="1">IF(OR(MONTH(H$4)=Assumptions!$C$53,((MONTH(H$4)-Assumptions!$C$53)/MAX(Assumptions!$C$52,1))-ROUND((MONTH(H$4)-Assumptions!$C$53)/MAX(Assumptions!$C$52,1),0)=0),"Yes","No")</f>
        <v>Yes</v>
      </c>
      <c r="I70" s="9" t="str">
        <f ca="1">IF(OR(MONTH(I$4)=Assumptions!$C$53,((MONTH(I$4)-Assumptions!$C$53)/MAX(Assumptions!$C$52,1))-ROUND((MONTH(I$4)-Assumptions!$C$53)/MAX(Assumptions!$C$52,1),0)=0),"Yes","No")</f>
        <v>Yes</v>
      </c>
      <c r="J70" s="9" t="str">
        <f ca="1">IF(OR(MONTH(J$4)=Assumptions!$C$53,((MONTH(J$4)-Assumptions!$C$53)/MAX(Assumptions!$C$52,1))-ROUND((MONTH(J$4)-Assumptions!$C$53)/MAX(Assumptions!$C$52,1),0)=0),"Yes","No")</f>
        <v>Yes</v>
      </c>
      <c r="K70" s="9" t="str">
        <f ca="1">IF(OR(MONTH(K$4)=Assumptions!$C$53,((MONTH(K$4)-Assumptions!$C$53)/MAX(Assumptions!$C$52,1))-ROUND((MONTH(K$4)-Assumptions!$C$53)/MAX(Assumptions!$C$52,1),0)=0),"Yes","No")</f>
        <v>Yes</v>
      </c>
      <c r="L70" s="9" t="str">
        <f ca="1">IF(OR(MONTH(L$4)=Assumptions!$C$53,((MONTH(L$4)-Assumptions!$C$53)/MAX(Assumptions!$C$52,1))-ROUND((MONTH(L$4)-Assumptions!$C$53)/MAX(Assumptions!$C$52,1),0)=0),"Yes","No")</f>
        <v>Yes</v>
      </c>
      <c r="M70" s="9" t="str">
        <f ca="1">IF(OR(MONTH(M$4)=Assumptions!$C$53,((MONTH(M$4)-Assumptions!$C$53)/MAX(Assumptions!$C$52,1))-ROUND((MONTH(M$4)-Assumptions!$C$53)/MAX(Assumptions!$C$52,1),0)=0),"Yes","No")</f>
        <v>Yes</v>
      </c>
      <c r="N70" s="9" t="str">
        <f ca="1">IF(OR(MONTH(N$4)=Assumptions!$C$53,((MONTH(N$4)-Assumptions!$C$53)/MAX(Assumptions!$C$52,1))-ROUND((MONTH(N$4)-Assumptions!$C$53)/MAX(Assumptions!$C$52,1),0)=0),"Yes","No")</f>
        <v>Yes</v>
      </c>
      <c r="O70" s="9" t="str">
        <f ca="1">IF(OR(MONTH(O$4)=Assumptions!$C$53,((MONTH(O$4)-Assumptions!$C$53)/MAX(Assumptions!$C$52,1))-ROUND((MONTH(O$4)-Assumptions!$C$53)/MAX(Assumptions!$C$52,1),0)=0),"Yes","No")</f>
        <v>Yes</v>
      </c>
      <c r="P70" s="93" t="str">
        <f ca="1">$O$70</f>
        <v>Yes</v>
      </c>
      <c r="Q70" s="93" t="str">
        <f t="shared" ref="Q70:T70" ca="1" si="42">$O$70</f>
        <v>Yes</v>
      </c>
      <c r="R70" s="93" t="str">
        <f t="shared" ca="1" si="42"/>
        <v>Yes</v>
      </c>
      <c r="S70" s="93" t="str">
        <f t="shared" ca="1" si="42"/>
        <v>Yes</v>
      </c>
      <c r="T70" s="93" t="str">
        <f t="shared" ca="1" si="42"/>
        <v>Yes</v>
      </c>
    </row>
    <row r="71" spans="1:20" s="6" customFormat="1" ht="16.149999999999999" customHeight="1" x14ac:dyDescent="0.25">
      <c r="A71" s="119"/>
      <c r="B71" s="6" t="s">
        <v>214</v>
      </c>
      <c r="C71" s="94">
        <f ca="1">IF(C70="Yes",1-Assumptions!$D$54,IF(ISTEXT(B71),Assumptions!$C$52-MATCH("Yes",$C$70:$AO$70,0)+COLUMN($B$4),IF(ISBLANK(B71),A71+2,B71+1)))</f>
        <v>1</v>
      </c>
      <c r="D71" s="94">
        <f ca="1">IF(D70="Yes",1-Assumptions!$D$54,IF(ISTEXT(C71),Assumptions!$C$52-MATCH("Yes",$C$70:$AO$70,0)+COLUMN($B$4),IF(ISBLANK(C71),B71+2,C71+1)))</f>
        <v>1</v>
      </c>
      <c r="E71" s="94">
        <f ca="1">IF(E70="Yes",1-Assumptions!$D$54,IF(ISTEXT(D71),Assumptions!$C$52-MATCH("Yes",$C$70:$AO$70,0)+COLUMN($B$4),IF(ISBLANK(D71),C71+2,D71+1)))</f>
        <v>1</v>
      </c>
      <c r="F71" s="94">
        <f ca="1">IF(F70="Yes",1-Assumptions!$D$54,IF(ISTEXT(E71),Assumptions!$C$52-MATCH("Yes",$C$70:$AO$70,0)+COLUMN($B$4),IF(ISBLANK(E71),D71+2,E71+1)))</f>
        <v>1</v>
      </c>
      <c r="G71" s="94">
        <f ca="1">IF(G70="Yes",1-Assumptions!$D$54,IF(ISTEXT(F71),Assumptions!$C$52-MATCH("Yes",$C$70:$AO$70,0)+COLUMN($B$4),IF(ISBLANK(F71),E71+2,F71+1)))</f>
        <v>1</v>
      </c>
      <c r="H71" s="94">
        <f ca="1">IF(H70="Yes",1-Assumptions!$D$54,IF(ISTEXT(G71),Assumptions!$C$52-MATCH("Yes",$C$70:$AO$70,0)+COLUMN($B$4),IF(ISBLANK(G71),F71+2,G71+1)))</f>
        <v>1</v>
      </c>
      <c r="I71" s="94">
        <f ca="1">IF(I70="Yes",1-Assumptions!$D$54,IF(ISTEXT(H71),Assumptions!$C$52-MATCH("Yes",$C$70:$AO$70,0)+COLUMN($B$4),IF(ISBLANK(H71),G71+2,H71+1)))</f>
        <v>1</v>
      </c>
      <c r="J71" s="94">
        <f ca="1">IF(J70="Yes",1-Assumptions!$D$54,IF(ISTEXT(I71),Assumptions!$C$52-MATCH("Yes",$C$70:$AO$70,0)+COLUMN($B$4),IF(ISBLANK(I71),H71+2,I71+1)))</f>
        <v>1</v>
      </c>
      <c r="K71" s="94">
        <f ca="1">IF(K70="Yes",1-Assumptions!$D$54,IF(ISTEXT(J71),Assumptions!$C$52-MATCH("Yes",$C$70:$AO$70,0)+COLUMN($B$4),IF(ISBLANK(J71),I71+2,J71+1)))</f>
        <v>1</v>
      </c>
      <c r="L71" s="94">
        <f ca="1">IF(L70="Yes",1-Assumptions!$D$54,IF(ISTEXT(K71),Assumptions!$C$52-MATCH("Yes",$C$70:$AO$70,0)+COLUMN($B$4),IF(ISBLANK(K71),J71+2,K71+1)))</f>
        <v>1</v>
      </c>
      <c r="M71" s="94">
        <f ca="1">IF(M70="Yes",1-Assumptions!$D$54,IF(ISTEXT(L71),Assumptions!$C$52-MATCH("Yes",$C$70:$AO$70,0)+COLUMN($B$4),IF(ISBLANK(L71),K71+2,L71+1)))</f>
        <v>1</v>
      </c>
      <c r="N71" s="94">
        <f ca="1">IF(N70="Yes",1-Assumptions!$D$54,IF(ISTEXT(M71),Assumptions!$C$52-MATCH("Yes",$C$70:$AO$70,0)+COLUMN($B$4),IF(ISBLANK(M71),L71+2,M71+1)))</f>
        <v>1</v>
      </c>
      <c r="O71" s="94">
        <f ca="1">IF(O70="Yes",1-Assumptions!$D$54,IF(ISTEXT(N71),Assumptions!$C$52-MATCH("Yes",$C$70:$AO$70,0)+COLUMN($B$4),IF(ISBLANK(N71),M71+2,N71+1)))</f>
        <v>1</v>
      </c>
      <c r="P71" s="95">
        <f ca="1">$O$71</f>
        <v>1</v>
      </c>
      <c r="Q71" s="95">
        <f t="shared" ref="Q71:T71" ca="1" si="43">$O$71</f>
        <v>1</v>
      </c>
      <c r="R71" s="95">
        <f t="shared" ca="1" si="43"/>
        <v>1</v>
      </c>
      <c r="S71" s="95">
        <f t="shared" ca="1" si="43"/>
        <v>1</v>
      </c>
      <c r="T71" s="95">
        <f t="shared" ca="1" si="43"/>
        <v>1</v>
      </c>
    </row>
    <row r="72" spans="1:20" s="6" customFormat="1" ht="16.149999999999999" customHeight="1" x14ac:dyDescent="0.25">
      <c r="A72" s="119"/>
      <c r="B72" s="6" t="s">
        <v>218</v>
      </c>
      <c r="C72" s="72">
        <f ca="1">C35</f>
        <v>0</v>
      </c>
      <c r="D72" s="72">
        <f ca="1">SUMIF(IncState!$A$4:$AO$59,"PAY",IncState!C$4:C$59)*D69</f>
        <v>26977183.766399998</v>
      </c>
      <c r="E72" s="72">
        <f ca="1">SUMIF(IncState!$A$4:$AO$59,"PAY",IncState!D$4:D$59)*E69</f>
        <v>26977183.766399998</v>
      </c>
      <c r="F72" s="72">
        <f ca="1">SUMIF(IncState!$A$4:$AO$59,"PAY",IncState!E$4:E$59)*F69</f>
        <v>26977183.766399998</v>
      </c>
      <c r="G72" s="72">
        <f ca="1">SUMIF(IncState!$A$4:$AO$59,"PAY",IncState!F$4:F$59)*G69</f>
        <v>26977183.766399998</v>
      </c>
      <c r="H72" s="72">
        <f ca="1">SUMIF(IncState!$A$4:$AO$59,"PAY",IncState!G$4:G$59)*H69</f>
        <v>26977183.766399998</v>
      </c>
      <c r="I72" s="72">
        <f ca="1">SUMIF(IncState!$A$4:$AO$59,"PAY",IncState!H$4:H$59)*I69</f>
        <v>26977183.766399998</v>
      </c>
      <c r="J72" s="72">
        <f ca="1">SUMIF(IncState!$A$4:$AO$59,"PAY",IncState!I$4:I$59)*J69</f>
        <v>26977183.766399998</v>
      </c>
      <c r="K72" s="72">
        <f ca="1">SUMIF(IncState!$A$4:$AO$59,"PAY",IncState!J$4:J$59)*K69</f>
        <v>26977183.766399998</v>
      </c>
      <c r="L72" s="72">
        <f ca="1">SUMIF(IncState!$A$4:$AO$59,"PAY",IncState!K$4:K$59)*L69</f>
        <v>26977183.766399998</v>
      </c>
      <c r="M72" s="72">
        <f ca="1">SUMIF(IncState!$A$4:$AO$59,"PAY",IncState!L$4:L$59)*M69</f>
        <v>26977183.766399998</v>
      </c>
      <c r="N72" s="72">
        <f ca="1">SUMIF(IncState!$A$4:$AO$59,"PAY",IncState!M$4:M$59)*N69</f>
        <v>26977183.766399998</v>
      </c>
      <c r="O72" s="72">
        <f ca="1">SUMIF(IncState!$A$4:$AO$59,"PAY",IncState!N$4:N$59)*O69</f>
        <v>26977183.766399998</v>
      </c>
      <c r="P72" s="91">
        <f ca="1">$O$72</f>
        <v>26977183.766399998</v>
      </c>
      <c r="Q72" s="46">
        <f>Assumptions!D$18</f>
        <v>0.06</v>
      </c>
      <c r="R72" s="46">
        <f>Assumptions!E$18</f>
        <v>0.06</v>
      </c>
      <c r="S72" s="46">
        <f>Assumptions!F$18</f>
        <v>0.06</v>
      </c>
      <c r="T72" s="46">
        <f>Assumptions!G$18</f>
        <v>0.06</v>
      </c>
    </row>
    <row r="73" spans="1:20" s="6" customFormat="1" ht="16.149999999999999" customHeight="1" x14ac:dyDescent="0.25">
      <c r="A73" s="119"/>
      <c r="B73" s="6" t="s">
        <v>245</v>
      </c>
      <c r="C73" s="72"/>
      <c r="D73" s="72"/>
      <c r="E73" s="72"/>
      <c r="F73" s="72"/>
      <c r="G73" s="72"/>
    </row>
    <row r="74" spans="1:20" s="46" customFormat="1" ht="16.149999999999999" customHeight="1" x14ac:dyDescent="0.25">
      <c r="A74" s="139"/>
      <c r="B74" s="97" t="s">
        <v>243</v>
      </c>
      <c r="D74" s="46">
        <f>Assumptions!$C$101</f>
        <v>0.21</v>
      </c>
      <c r="E74" s="46">
        <f>Assumptions!$C$101</f>
        <v>0.21</v>
      </c>
      <c r="F74" s="46">
        <f>Assumptions!$C$101</f>
        <v>0.21</v>
      </c>
      <c r="G74" s="46">
        <f>Assumptions!$C$101</f>
        <v>0.21</v>
      </c>
      <c r="H74" s="46">
        <f>Assumptions!$C$101</f>
        <v>0.21</v>
      </c>
      <c r="I74" s="46">
        <f>Assumptions!$C$101</f>
        <v>0.21</v>
      </c>
      <c r="J74" s="46">
        <f>Assumptions!$C$101</f>
        <v>0.21</v>
      </c>
      <c r="K74" s="46">
        <f>Assumptions!$C$101</f>
        <v>0.21</v>
      </c>
      <c r="L74" s="46">
        <f>Assumptions!$C$101</f>
        <v>0.21</v>
      </c>
      <c r="M74" s="46">
        <f>Assumptions!$C$101</f>
        <v>0.21</v>
      </c>
      <c r="N74" s="46">
        <f>Assumptions!$C$101</f>
        <v>0.21</v>
      </c>
      <c r="O74" s="46">
        <f>Assumptions!$C$101</f>
        <v>0.21</v>
      </c>
      <c r="P74" s="46">
        <f>Assumptions!$C$101</f>
        <v>0.21</v>
      </c>
      <c r="Q74" s="46">
        <f>Assumptions!$C$101</f>
        <v>0.21</v>
      </c>
      <c r="R74" s="46">
        <f>Assumptions!$C$101</f>
        <v>0.21</v>
      </c>
      <c r="S74" s="46">
        <f>Assumptions!$C$101</f>
        <v>0.21</v>
      </c>
      <c r="T74" s="46">
        <f>Assumptions!$C$101</f>
        <v>0.21</v>
      </c>
    </row>
    <row r="75" spans="1:20" s="6" customFormat="1" ht="16.149999999999999" customHeight="1" x14ac:dyDescent="0.25">
      <c r="A75" s="119"/>
      <c r="B75" s="6" t="s">
        <v>246</v>
      </c>
      <c r="C75" s="9" t="str">
        <f ca="1">IF(OR(MONTH(C$4)=Assumptions!$D$103-Assumptions!$D$104,((MONTH(C$4)-Assumptions!$D$103+Assumptions!$D$104)/MAX(Assumptions!$C$102,1))-ROUND((MONTH(C$4)-Assumptions!$D$103+Assumptions!$D$104)/MAX(Assumptions!$C$102,1),0)=0),"Yes","No")</f>
        <v>Yes</v>
      </c>
      <c r="D75" s="9" t="str">
        <f ca="1">IF(OR(MONTH(D$4)=Assumptions!$D$103-Assumptions!$D$104,((MONTH(D$4)-Assumptions!$D$103+Assumptions!$D$104)/MAX(Assumptions!$C$102,1))-ROUND((MONTH(D$4)-Assumptions!$D$103+Assumptions!$D$104)/MAX(Assumptions!$C$102,1),0)=0),"Yes","No")</f>
        <v>No</v>
      </c>
      <c r="E75" s="9" t="str">
        <f ca="1">IF(OR(MONTH(E$4)=Assumptions!$D$103-Assumptions!$D$104,((MONTH(E$4)-Assumptions!$D$103+Assumptions!$D$104)/MAX(Assumptions!$C$102,1))-ROUND((MONTH(E$4)-Assumptions!$D$103+Assumptions!$D$104)/MAX(Assumptions!$C$102,1),0)=0),"Yes","No")</f>
        <v>No</v>
      </c>
      <c r="F75" s="9" t="str">
        <f ca="1">IF(OR(MONTH(F$4)=Assumptions!$D$103-Assumptions!$D$104,((MONTH(F$4)-Assumptions!$D$103+Assumptions!$D$104)/MAX(Assumptions!$C$102,1))-ROUND((MONTH(F$4)-Assumptions!$D$103+Assumptions!$D$104)/MAX(Assumptions!$C$102,1),0)=0),"Yes","No")</f>
        <v>No</v>
      </c>
      <c r="G75" s="9" t="str">
        <f ca="1">IF(OR(MONTH(G$4)=Assumptions!$D$103-Assumptions!$D$104,((MONTH(G$4)-Assumptions!$D$103+Assumptions!$D$104)/MAX(Assumptions!$C$102,1))-ROUND((MONTH(G$4)-Assumptions!$D$103+Assumptions!$D$104)/MAX(Assumptions!$C$102,1),0)=0),"Yes","No")</f>
        <v>No</v>
      </c>
      <c r="H75" s="9" t="str">
        <f ca="1">IF(OR(MONTH(H$4)=Assumptions!$D$103-Assumptions!$D$104,((MONTH(H$4)-Assumptions!$D$103+Assumptions!$D$104)/MAX(Assumptions!$C$102,1))-ROUND((MONTH(H$4)-Assumptions!$D$103+Assumptions!$D$104)/MAX(Assumptions!$C$102,1),0)=0),"Yes","No")</f>
        <v>No</v>
      </c>
      <c r="I75" s="9" t="str">
        <f ca="1">IF(OR(MONTH(I$4)=Assumptions!$D$103-Assumptions!$D$104,((MONTH(I$4)-Assumptions!$D$103+Assumptions!$D$104)/MAX(Assumptions!$C$102,1))-ROUND((MONTH(I$4)-Assumptions!$D$103+Assumptions!$D$104)/MAX(Assumptions!$C$102,1),0)=0),"Yes","No")</f>
        <v>No</v>
      </c>
      <c r="J75" s="9" t="str">
        <f ca="1">IF(OR(MONTH(J$4)=Assumptions!$D$103-Assumptions!$D$104,((MONTH(J$4)-Assumptions!$D$103+Assumptions!$D$104)/MAX(Assumptions!$C$102,1))-ROUND((MONTH(J$4)-Assumptions!$D$103+Assumptions!$D$104)/MAX(Assumptions!$C$102,1),0)=0),"Yes","No")</f>
        <v>No</v>
      </c>
      <c r="K75" s="9" t="str">
        <f ca="1">IF(OR(MONTH(K$4)=Assumptions!$D$103-Assumptions!$D$104,((MONTH(K$4)-Assumptions!$D$103+Assumptions!$D$104)/MAX(Assumptions!$C$102,1))-ROUND((MONTH(K$4)-Assumptions!$D$103+Assumptions!$D$104)/MAX(Assumptions!$C$102,1),0)=0),"Yes","No")</f>
        <v>No</v>
      </c>
      <c r="L75" s="9" t="str">
        <f ca="1">IF(OR(MONTH(L$4)=Assumptions!$D$103-Assumptions!$D$104,((MONTH(L$4)-Assumptions!$D$103+Assumptions!$D$104)/MAX(Assumptions!$C$102,1))-ROUND((MONTH(L$4)-Assumptions!$D$103+Assumptions!$D$104)/MAX(Assumptions!$C$102,1),0)=0),"Yes","No")</f>
        <v>No</v>
      </c>
      <c r="M75" s="9" t="str">
        <f ca="1">IF(OR(MONTH(M$4)=Assumptions!$D$103-Assumptions!$D$104,((MONTH(M$4)-Assumptions!$D$103+Assumptions!$D$104)/MAX(Assumptions!$C$102,1))-ROUND((MONTH(M$4)-Assumptions!$D$103+Assumptions!$D$104)/MAX(Assumptions!$C$102,1),0)=0),"Yes","No")</f>
        <v>No</v>
      </c>
      <c r="N75" s="9" t="str">
        <f ca="1">IF(OR(MONTH(N$4)=Assumptions!$D$103-Assumptions!$D$104,((MONTH(N$4)-Assumptions!$D$103+Assumptions!$D$104)/MAX(Assumptions!$C$102,1))-ROUND((MONTH(N$4)-Assumptions!$D$103+Assumptions!$D$104)/MAX(Assumptions!$C$102,1),0)=0),"Yes","No")</f>
        <v>No</v>
      </c>
      <c r="O75" s="9" t="str">
        <f ca="1">IF(OR(MONTH(O$4)=Assumptions!$D$103-Assumptions!$D$104,((MONTH(O$4)-Assumptions!$D$103+Assumptions!$D$104)/MAX(Assumptions!$C$102,1))-ROUND((MONTH(O$4)-Assumptions!$D$103+Assumptions!$D$104)/MAX(Assumptions!$C$102,1),0)=0),"Yes","No")</f>
        <v>Yes</v>
      </c>
      <c r="P75" s="9" t="str">
        <f ca="1">$O$75</f>
        <v>Yes</v>
      </c>
      <c r="Q75" s="9" t="str">
        <f t="shared" ref="Q75:T75" ca="1" si="44">$O$75</f>
        <v>Yes</v>
      </c>
      <c r="R75" s="9" t="str">
        <f t="shared" ca="1" si="44"/>
        <v>Yes</v>
      </c>
      <c r="S75" s="9" t="str">
        <f t="shared" ca="1" si="44"/>
        <v>Yes</v>
      </c>
      <c r="T75" s="9" t="str">
        <f t="shared" ca="1" si="44"/>
        <v>Yes</v>
      </c>
    </row>
    <row r="76" spans="1:20" s="6" customFormat="1" ht="16.149999999999999" customHeight="1" x14ac:dyDescent="0.25">
      <c r="A76" s="119"/>
      <c r="B76" s="6" t="s">
        <v>213</v>
      </c>
      <c r="C76" s="9" t="str">
        <f ca="1">IF(OR(MONTH(C$4)=Assumptions!$D$103,((MONTH(C$4)-Assumptions!$D$103)/MAX(Assumptions!$C$102,1))-ROUND((MONTH(C$4)-Assumptions!$D$103)/MAX(Assumptions!$C$102,1),0)=0),"Yes","No")</f>
        <v>No</v>
      </c>
      <c r="D76" s="9" t="str">
        <f ca="1">IF(OR(MONTH(D$4)=Assumptions!$D$103,((MONTH(D$4)-Assumptions!$D$103)/MAX(Assumptions!$C$102,1))-ROUND((MONTH(D$4)-Assumptions!$D$103)/MAX(Assumptions!$C$102,1),0)=0),"Yes","No")</f>
        <v>Yes</v>
      </c>
      <c r="E76" s="9" t="str">
        <f ca="1">IF(OR(MONTH(E$4)=Assumptions!$D$103,((MONTH(E$4)-Assumptions!$D$103)/MAX(Assumptions!$C$102,1))-ROUND((MONTH(E$4)-Assumptions!$D$103)/MAX(Assumptions!$C$102,1),0)=0),"Yes","No")</f>
        <v>No</v>
      </c>
      <c r="F76" s="9" t="str">
        <f ca="1">IF(OR(MONTH(F$4)=Assumptions!$D$103,((MONTH(F$4)-Assumptions!$D$103)/MAX(Assumptions!$C$102,1))-ROUND((MONTH(F$4)-Assumptions!$D$103)/MAX(Assumptions!$C$102,1),0)=0),"Yes","No")</f>
        <v>No</v>
      </c>
      <c r="G76" s="9" t="str">
        <f ca="1">IF(OR(MONTH(G$4)=Assumptions!$D$103,((MONTH(G$4)-Assumptions!$D$103)/MAX(Assumptions!$C$102,1))-ROUND((MONTH(G$4)-Assumptions!$D$103)/MAX(Assumptions!$C$102,1),0)=0),"Yes","No")</f>
        <v>No</v>
      </c>
      <c r="H76" s="9" t="str">
        <f ca="1">IF(OR(MONTH(H$4)=Assumptions!$D$103,((MONTH(H$4)-Assumptions!$D$103)/MAX(Assumptions!$C$102,1))-ROUND((MONTH(H$4)-Assumptions!$D$103)/MAX(Assumptions!$C$102,1),0)=0),"Yes","No")</f>
        <v>No</v>
      </c>
      <c r="I76" s="9" t="str">
        <f ca="1">IF(OR(MONTH(I$4)=Assumptions!$D$103,((MONTH(I$4)-Assumptions!$D$103)/MAX(Assumptions!$C$102,1))-ROUND((MONTH(I$4)-Assumptions!$D$103)/MAX(Assumptions!$C$102,1),0)=0),"Yes","No")</f>
        <v>No</v>
      </c>
      <c r="J76" s="9" t="str">
        <f ca="1">IF(OR(MONTH(J$4)=Assumptions!$D$103,((MONTH(J$4)-Assumptions!$D$103)/MAX(Assumptions!$C$102,1))-ROUND((MONTH(J$4)-Assumptions!$D$103)/MAX(Assumptions!$C$102,1),0)=0),"Yes","No")</f>
        <v>No</v>
      </c>
      <c r="K76" s="9" t="str">
        <f ca="1">IF(OR(MONTH(K$4)=Assumptions!$D$103,((MONTH(K$4)-Assumptions!$D$103)/MAX(Assumptions!$C$102,1))-ROUND((MONTH(K$4)-Assumptions!$D$103)/MAX(Assumptions!$C$102,1),0)=0),"Yes","No")</f>
        <v>No</v>
      </c>
      <c r="L76" s="9" t="str">
        <f ca="1">IF(OR(MONTH(L$4)=Assumptions!$D$103,((MONTH(L$4)-Assumptions!$D$103)/MAX(Assumptions!$C$102,1))-ROUND((MONTH(L$4)-Assumptions!$D$103)/MAX(Assumptions!$C$102,1),0)=0),"Yes","No")</f>
        <v>No</v>
      </c>
      <c r="M76" s="9" t="str">
        <f ca="1">IF(OR(MONTH(M$4)=Assumptions!$D$103,((MONTH(M$4)-Assumptions!$D$103)/MAX(Assumptions!$C$102,1))-ROUND((MONTH(M$4)-Assumptions!$D$103)/MAX(Assumptions!$C$102,1),0)=0),"Yes","No")</f>
        <v>No</v>
      </c>
      <c r="N76" s="9" t="str">
        <f ca="1">IF(OR(MONTH(N$4)=Assumptions!$D$103,((MONTH(N$4)-Assumptions!$D$103)/MAX(Assumptions!$C$102,1))-ROUND((MONTH(N$4)-Assumptions!$D$103)/MAX(Assumptions!$C$102,1),0)=0),"Yes","No")</f>
        <v>No</v>
      </c>
      <c r="O76" s="9" t="str">
        <f ca="1">IF(OR(MONTH(O$4)=Assumptions!$D$103,((MONTH(O$4)-Assumptions!$D$103)/MAX(Assumptions!$C$102,1))-ROUND((MONTH(O$4)-Assumptions!$D$103)/MAX(Assumptions!$C$102,1),0)=0),"Yes","No")</f>
        <v>No</v>
      </c>
      <c r="P76" s="9" t="str">
        <f ca="1">$O$76</f>
        <v>No</v>
      </c>
      <c r="Q76" s="9" t="str">
        <f t="shared" ref="Q76:T76" ca="1" si="45">$O$76</f>
        <v>No</v>
      </c>
      <c r="R76" s="9" t="str">
        <f t="shared" ca="1" si="45"/>
        <v>No</v>
      </c>
      <c r="S76" s="9" t="str">
        <f t="shared" ca="1" si="45"/>
        <v>No</v>
      </c>
      <c r="T76" s="9" t="str">
        <f t="shared" ca="1" si="45"/>
        <v>No</v>
      </c>
    </row>
    <row r="77" spans="1:20" s="6" customFormat="1" ht="16.149999999999999" customHeight="1" x14ac:dyDescent="0.25">
      <c r="A77" s="119"/>
      <c r="B77" s="6" t="s">
        <v>65</v>
      </c>
      <c r="C77" s="72"/>
      <c r="D77" s="72">
        <f ca="1">IncState!C59</f>
        <v>782226915.56884015</v>
      </c>
      <c r="E77" s="72">
        <f ca="1">IncState!D59</f>
        <v>782843847.85301113</v>
      </c>
      <c r="F77" s="72">
        <f ca="1">IncState!E59</f>
        <v>783466949.46002364</v>
      </c>
      <c r="G77" s="72">
        <f ca="1">IncState!F59</f>
        <v>784096282.0831064</v>
      </c>
      <c r="H77" s="72">
        <f ca="1">IncState!G59</f>
        <v>784731908.03242016</v>
      </c>
      <c r="I77" s="72">
        <f ca="1">IncState!H59</f>
        <v>785373890.24122691</v>
      </c>
      <c r="J77" s="72">
        <f ca="1">IncState!I59</f>
        <v>786022292.27212167</v>
      </c>
      <c r="K77" s="72">
        <f ca="1">IncState!J59</f>
        <v>786677178.32332492</v>
      </c>
      <c r="L77" s="72">
        <f ca="1">IncState!K59</f>
        <v>787338613.23504138</v>
      </c>
      <c r="M77" s="72">
        <f ca="1">IncState!L59</f>
        <v>788006662.49587417</v>
      </c>
      <c r="N77" s="72">
        <f ca="1">IncState!M59</f>
        <v>788681392.24931502</v>
      </c>
      <c r="O77" s="72">
        <f ca="1">IncState!N59</f>
        <v>592770931.80029094</v>
      </c>
      <c r="P77" s="72">
        <f ca="1">IncState!O59</f>
        <v>9232236863.6145935</v>
      </c>
      <c r="Q77" s="72">
        <f ca="1">IncState!P59</f>
        <v>10759622455.599348</v>
      </c>
      <c r="R77" s="72">
        <f ca="1">IncState!Q59</f>
        <v>11810585513.262604</v>
      </c>
      <c r="S77" s="72">
        <f ca="1">IncState!R59</f>
        <v>13305062498.563189</v>
      </c>
      <c r="T77" s="72">
        <f ca="1">IncState!S59</f>
        <v>14573958989.112255</v>
      </c>
    </row>
    <row r="78" spans="1:20" s="6" customFormat="1" ht="16.149999999999999" customHeight="1" x14ac:dyDescent="0.25">
      <c r="A78" s="119"/>
      <c r="B78" s="6" t="s">
        <v>250</v>
      </c>
      <c r="C78" s="72"/>
      <c r="D78" s="72">
        <f ca="1">IF(SUM($D77:D77)&lt;=0,0,(SUM($D77:D77)*D74))-SUM($C78:C78)</f>
        <v>164267652.26945642</v>
      </c>
      <c r="E78" s="72">
        <f ca="1">IF(SUM($D77:E77)&lt;=0,0,(SUM($D77:E77)*E74))-SUM($C78:D78)</f>
        <v>164397208.04913232</v>
      </c>
      <c r="F78" s="72">
        <f ca="1">IF(SUM($D77:F77)&lt;=0,0,(SUM($D77:F77)*F74))-SUM($C78:E78)</f>
        <v>164528059.38660502</v>
      </c>
      <c r="G78" s="72">
        <f ca="1">IF(SUM($D77:G77)&lt;=0,0,(SUM($D77:G77)*G74))-SUM($C78:F78)</f>
        <v>164660219.23745239</v>
      </c>
      <c r="H78" s="72">
        <f ca="1">IF(SUM($D77:H77)&lt;=0,0,(SUM($D77:H77)*H74))-SUM($C78:G78)</f>
        <v>164793700.68680823</v>
      </c>
      <c r="I78" s="72">
        <f ca="1">IF(SUM($D77:I77)&lt;=0,0,(SUM($D77:I77)*I74))-SUM($C78:H78)</f>
        <v>164928516.95065761</v>
      </c>
      <c r="J78" s="72">
        <f ca="1">IF(SUM($D77:J77)&lt;=0,0,(SUM($D77:J77)*J74))-SUM($C78:I78)</f>
        <v>165064681.37714553</v>
      </c>
      <c r="K78" s="72">
        <f ca="1">IF(SUM($D77:K77)&lt;=0,0,(SUM($D77:K77)*K74))-SUM($C78:J78)</f>
        <v>165202207.44789815</v>
      </c>
      <c r="L78" s="72">
        <f ca="1">IF(SUM($D77:L77)&lt;=0,0,(SUM($D77:L77)*L74))-SUM($C78:K78)</f>
        <v>165341108.77935886</v>
      </c>
      <c r="M78" s="72">
        <f ca="1">IF(SUM($D77:M77)&lt;=0,0,(SUM($D77:M77)*M74))-SUM($C78:L78)</f>
        <v>165481399.12413359</v>
      </c>
      <c r="N78" s="72">
        <f ca="1">IF(SUM($D77:N77)&lt;=0,0,(SUM($D77:N77)*N74))-SUM($C78:M78)</f>
        <v>165623092.37235618</v>
      </c>
      <c r="O78" s="72">
        <f ca="1">IF(SUM($D77:O77)&lt;=0,0,(SUM($D77:O77)*O74))-SUM($C78:N78)</f>
        <v>124481895.67806101</v>
      </c>
      <c r="P78" s="72">
        <f ca="1">IF(SUM($D77:P77)&lt;=0,0,(SUM($D77:P77)*P74))-SUM($C78:O78)</f>
        <v>1938769741.3590648</v>
      </c>
      <c r="Q78" s="72">
        <f ca="1">IF(SUM($D77:Q77)&lt;=0,0,(SUM($D77:Q77)*Q74))-SUM($C78:P78)</f>
        <v>2259520715.6758623</v>
      </c>
      <c r="R78" s="72">
        <f ca="1">IF(SUM($D77:R77)&lt;=0,0,(SUM($D77:R77)*R74))-SUM($C78:Q78)</f>
        <v>2480222957.7851477</v>
      </c>
      <c r="S78" s="72">
        <f ca="1">IF(SUM($D77:S77)&lt;=0,0,(SUM($D77:S77)*S74))-SUM($C78:R78)</f>
        <v>2794063124.6982689</v>
      </c>
      <c r="T78" s="72">
        <f ca="1">IF(SUM($D77:T77)&lt;=0,0,(SUM($D77:T77)*T74))-SUM($C78:S78)</f>
        <v>3060531387.7135735</v>
      </c>
    </row>
    <row r="79" spans="1:20" s="6" customFormat="1" ht="16.149999999999999" customHeight="1" x14ac:dyDescent="0.25">
      <c r="A79" s="119"/>
      <c r="B79" s="6" t="s">
        <v>247</v>
      </c>
      <c r="C79" s="72">
        <f ca="1">C38</f>
        <v>0</v>
      </c>
      <c r="D79" s="72">
        <f ca="1">IF(D75="Yes",SUM(OFFSET(D78,0,1-MIN(COLUMN(D$4)-1,Assumptions!$C$102),1,MIN(COLUMN(D$4)-1,Assumptions!$C$102))),0)</f>
        <v>0</v>
      </c>
      <c r="E79" s="72">
        <f ca="1">IF(E75="Yes",SUM(OFFSET(E78,0,1-MIN(COLUMN(E$4)-1,Assumptions!$C$102),1,MIN(COLUMN(E$4)-1,Assumptions!$C$102))),0)</f>
        <v>0</v>
      </c>
      <c r="F79" s="72">
        <f ca="1">IF(F75="Yes",SUM(OFFSET(F78,0,1-MIN(COLUMN(F$4)-1,Assumptions!$C$102),1,MIN(COLUMN(F$4)-1,Assumptions!$C$102))),0)</f>
        <v>0</v>
      </c>
      <c r="G79" s="72">
        <f ca="1">IF(G75="Yes",SUM(OFFSET(G78,0,1-MIN(COLUMN(G$4)-1,Assumptions!$C$102),1,MIN(COLUMN(G$4)-1,Assumptions!$C$102))),0)</f>
        <v>0</v>
      </c>
      <c r="H79" s="72">
        <f ca="1">IF(H75="Yes",SUM(OFFSET(H78,0,1-MIN(COLUMN(H$4)-1,Assumptions!$C$102),1,MIN(COLUMN(H$4)-1,Assumptions!$C$102))),0)</f>
        <v>0</v>
      </c>
      <c r="I79" s="72">
        <f ca="1">IF(I75="Yes",SUM(OFFSET(I78,0,1-MIN(COLUMN(I$4)-1,Assumptions!$C$102),1,MIN(COLUMN(I$4)-1,Assumptions!$C$102))),0)</f>
        <v>0</v>
      </c>
      <c r="J79" s="72">
        <f ca="1">IF(J75="Yes",SUM(OFFSET(J78,0,1-MIN(COLUMN(J$4)-1,Assumptions!$C$102),1,MIN(COLUMN(J$4)-1,Assumptions!$C$102))),0)</f>
        <v>0</v>
      </c>
      <c r="K79" s="72">
        <f ca="1">IF(K75="Yes",SUM(OFFSET(K78,0,1-MIN(COLUMN(K$4)-1,Assumptions!$C$102),1,MIN(COLUMN(K$4)-1,Assumptions!$C$102))),0)</f>
        <v>0</v>
      </c>
      <c r="L79" s="72">
        <f ca="1">IF(L75="Yes",SUM(OFFSET(L78,0,1-MIN(COLUMN(L$4)-1,Assumptions!$C$102),1,MIN(COLUMN(L$4)-1,Assumptions!$C$102))),0)</f>
        <v>0</v>
      </c>
      <c r="M79" s="72">
        <f ca="1">IF(M75="Yes",SUM(OFFSET(M78,0,1-MIN(COLUMN(M$4)-1,Assumptions!$C$102),1,MIN(COLUMN(M$4)-1,Assumptions!$C$102))),0)</f>
        <v>0</v>
      </c>
      <c r="N79" s="72">
        <f ca="1">IF(N75="Yes",SUM(OFFSET(N78,0,1-MIN(COLUMN(N$4)-1,Assumptions!$C$102),1,MIN(COLUMN(N$4)-1,Assumptions!$C$102))),0)</f>
        <v>0</v>
      </c>
      <c r="O79" s="72">
        <f ca="1">IF(O75="Yes",SUM(OFFSET(O78,0,1-MIN(COLUMN(O$4)-1,Assumptions!$C$102),1,MIN(COLUMN(O$4)-1,Assumptions!$C$102))),0)</f>
        <v>1938769741.3590653</v>
      </c>
      <c r="P79" s="72">
        <f ca="1">$O$79</f>
        <v>1938769741.3590653</v>
      </c>
      <c r="Q79" s="72">
        <f ca="1">Q78</f>
        <v>2259520715.6758623</v>
      </c>
      <c r="R79" s="72">
        <f t="shared" ref="R79:T79" ca="1" si="46">R78</f>
        <v>2480222957.7851477</v>
      </c>
      <c r="S79" s="72">
        <f t="shared" ca="1" si="46"/>
        <v>2794063124.6982689</v>
      </c>
      <c r="T79" s="72">
        <f t="shared" ca="1" si="46"/>
        <v>3060531387.7135735</v>
      </c>
    </row>
    <row r="80" spans="1:20" s="6" customFormat="1" ht="16.149999999999999" customHeight="1" x14ac:dyDescent="0.25">
      <c r="A80" s="119"/>
      <c r="B80" s="6" t="s">
        <v>248</v>
      </c>
      <c r="C80" s="72">
        <f ca="1">IF(C81="S",MAX(0,SUM(OFFSET(C79,0,1-MIN(COLUMN(C$4)-1,Assumptions!$D$104)-COUNTBLANK(OFFSET(C79,0,1-MIN(COLUMN(C$4)-1,Assumptions!$D$104),1,MIN(COLUMN(C$4)-1,Assumptions!$D$104))),1,MIN(COLUMN(C$4)-1,Assumptions!$D$104)))),C81)</f>
        <v>0</v>
      </c>
      <c r="D80" s="72">
        <f ca="1">IF(D81="S",MAX(0,SUM(OFFSET(D79,0,1-MIN(COLUMN(D$4)-1,Assumptions!$D$104)-COUNTBLANK(OFFSET(D79,0,1-MIN(COLUMN(D$4)-1,Assumptions!$D$104),1,MIN(COLUMN(D$4)-1,Assumptions!$D$104))),1,MIN(COLUMN(D$4)-1,Assumptions!$D$104)))),D81)</f>
        <v>0</v>
      </c>
      <c r="E80" s="72">
        <f ca="1">IF(E81="S",MAX(0,SUM(OFFSET(E79,0,1-MIN(COLUMN(E$4)-1,Assumptions!$D$104)-COUNTBLANK(OFFSET(E79,0,1-MIN(COLUMN(E$4)-1,Assumptions!$D$104),1,MIN(COLUMN(E$4)-1,Assumptions!$D$104))),1,MIN(COLUMN(E$4)-1,Assumptions!$D$104)))),E81)</f>
        <v>0</v>
      </c>
      <c r="F80" s="72">
        <f ca="1">IF(F81="S",MAX(0,SUM(OFFSET(F79,0,1-MIN(COLUMN(F$4)-1,Assumptions!$D$104)-COUNTBLANK(OFFSET(F79,0,1-MIN(COLUMN(F$4)-1,Assumptions!$D$104),1,MIN(COLUMN(F$4)-1,Assumptions!$D$104))),1,MIN(COLUMN(F$4)-1,Assumptions!$D$104)))),F81)</f>
        <v>0</v>
      </c>
      <c r="G80" s="72">
        <f ca="1">IF(G81="S",MAX(0,SUM(OFFSET(G79,0,1-MIN(COLUMN(G$4)-1,Assumptions!$D$104)-COUNTBLANK(OFFSET(G79,0,1-MIN(COLUMN(G$4)-1,Assumptions!$D$104),1,MIN(COLUMN(G$4)-1,Assumptions!$D$104))),1,MIN(COLUMN(G$4)-1,Assumptions!$D$104)))),G81)</f>
        <v>0</v>
      </c>
      <c r="H80" s="72">
        <f ca="1">IF(H81="S",MAX(0,SUM(OFFSET(H79,0,1-MIN(COLUMN(H$4)-1,Assumptions!$D$104)-COUNTBLANK(OFFSET(H79,0,1-MIN(COLUMN(H$4)-1,Assumptions!$D$104),1,MIN(COLUMN(H$4)-1,Assumptions!$D$104))),1,MIN(COLUMN(H$4)-1,Assumptions!$D$104)))),H81)</f>
        <v>0</v>
      </c>
      <c r="I80" s="72">
        <f ca="1">IF(I81="S",MAX(0,SUM(OFFSET(I79,0,1-MIN(COLUMN(I$4)-1,Assumptions!$D$104)-COUNTBLANK(OFFSET(I79,0,1-MIN(COLUMN(I$4)-1,Assumptions!$D$104),1,MIN(COLUMN(I$4)-1,Assumptions!$D$104))),1,MIN(COLUMN(I$4)-1,Assumptions!$D$104)))),I81)</f>
        <v>0</v>
      </c>
      <c r="J80" s="72">
        <f ca="1">IF(J81="S",MAX(0,SUM(OFFSET(J79,0,1-MIN(COLUMN(J$4)-1,Assumptions!$D$104)-COUNTBLANK(OFFSET(J79,0,1-MIN(COLUMN(J$4)-1,Assumptions!$D$104),1,MIN(COLUMN(J$4)-1,Assumptions!$D$104))),1,MIN(COLUMN(J$4)-1,Assumptions!$D$104)))),J81)</f>
        <v>0</v>
      </c>
      <c r="K80" s="72">
        <f ca="1">IF(K81="S",MAX(0,SUM(OFFSET(K79,0,1-MIN(COLUMN(K$4)-1,Assumptions!$D$104)-COUNTBLANK(OFFSET(K79,0,1-MIN(COLUMN(K$4)-1,Assumptions!$D$104),1,MIN(COLUMN(K$4)-1,Assumptions!$D$104))),1,MIN(COLUMN(K$4)-1,Assumptions!$D$104)))),K81)</f>
        <v>0</v>
      </c>
      <c r="L80" s="72">
        <f ca="1">IF(L81="S",MAX(0,SUM(OFFSET(L79,0,1-MIN(COLUMN(L$4)-1,Assumptions!$D$104)-COUNTBLANK(OFFSET(L79,0,1-MIN(COLUMN(L$4)-1,Assumptions!$D$104),1,MIN(COLUMN(L$4)-1,Assumptions!$D$104))),1,MIN(COLUMN(L$4)-1,Assumptions!$D$104)))),L81)</f>
        <v>0</v>
      </c>
      <c r="M80" s="72">
        <f ca="1">IF(M81="S",MAX(0,SUM(OFFSET(M79,0,1-MIN(COLUMN(M$4)-1,Assumptions!$D$104)-COUNTBLANK(OFFSET(M79,0,1-MIN(COLUMN(M$4)-1,Assumptions!$D$104),1,MIN(COLUMN(M$4)-1,Assumptions!$D$104))),1,MIN(COLUMN(M$4)-1,Assumptions!$D$104)))),M81)</f>
        <v>0</v>
      </c>
      <c r="N80" s="72">
        <f ca="1">IF(N81="S",MAX(0,SUM(OFFSET(N79,0,1-MIN(COLUMN(N$4)-1,Assumptions!$D$104)-COUNTBLANK(OFFSET(N79,0,1-MIN(COLUMN(N$4)-1,Assumptions!$D$104),1,MIN(COLUMN(N$4)-1,Assumptions!$D$104))),1,MIN(COLUMN(N$4)-1,Assumptions!$D$104)))),N81)</f>
        <v>0</v>
      </c>
      <c r="O80" s="72">
        <f ca="1">IF(O81="S",MAX(0,SUM(OFFSET(O79,0,1-MIN(COLUMN(O$4)-1,Assumptions!$D$104)-COUNTBLANK(OFFSET(O79,0,1-MIN(COLUMN(O$4)-1,Assumptions!$D$104),1,MIN(COLUMN(O$4)-1,Assumptions!$D$104))),1,MIN(COLUMN(O$4)-1,Assumptions!$D$104)))),O81)</f>
        <v>1938769741.3590653</v>
      </c>
      <c r="P80" s="72">
        <f ca="1">$O$80</f>
        <v>1938769741.3590653</v>
      </c>
      <c r="Q80" s="72">
        <f ca="1">MAX(0,IF(P77=0,0,P80/P77*Q77))</f>
        <v>2259520715.6758637</v>
      </c>
      <c r="R80" s="72">
        <f t="shared" ref="R80:T80" ca="1" si="47">MAX(0,IF(Q77=0,0,Q80/Q77*R77))</f>
        <v>2480222957.7851472</v>
      </c>
      <c r="S80" s="72">
        <f t="shared" ca="1" si="47"/>
        <v>2794063124.6982703</v>
      </c>
      <c r="T80" s="72">
        <f t="shared" ca="1" si="47"/>
        <v>3060531387.7135744</v>
      </c>
    </row>
    <row r="81" spans="1:20" s="6" customFormat="1" ht="16.149999999999999" customHeight="1" x14ac:dyDescent="0.25">
      <c r="A81" s="119"/>
      <c r="B81" s="6" t="s">
        <v>415</v>
      </c>
      <c r="C81" s="98" t="str">
        <f ca="1">IF(C76="Yes",IF(Assumptions!$C$104="Next",C79,0),IF(Assumptions!$D$104=0,0,"S"))</f>
        <v>S</v>
      </c>
      <c r="D81" s="98">
        <f ca="1">IF(D76="Yes",IF(Assumptions!$C$104="Next",D79,0),IF(Assumptions!$D$104=0,0,"S"))</f>
        <v>0</v>
      </c>
      <c r="E81" s="98" t="str">
        <f ca="1">IF(E76="Yes",IF(Assumptions!$C$104="Next",E79,0),IF(Assumptions!$D$104=0,0,"S"))</f>
        <v>S</v>
      </c>
      <c r="F81" s="98" t="str">
        <f ca="1">IF(F76="Yes",IF(Assumptions!$C$104="Next",F79,0),IF(Assumptions!$D$104=0,0,"S"))</f>
        <v>S</v>
      </c>
      <c r="G81" s="98" t="str">
        <f ca="1">IF(G76="Yes",IF(Assumptions!$C$104="Next",G79,0),IF(Assumptions!$D$104=0,0,"S"))</f>
        <v>S</v>
      </c>
      <c r="H81" s="98" t="str">
        <f ca="1">IF(H76="Yes",IF(Assumptions!$C$104="Next",H79,0),IF(Assumptions!$D$104=0,0,"S"))</f>
        <v>S</v>
      </c>
      <c r="I81" s="98" t="str">
        <f ca="1">IF(I76="Yes",IF(Assumptions!$C$104="Next",I79,0),IF(Assumptions!$D$104=0,0,"S"))</f>
        <v>S</v>
      </c>
      <c r="J81" s="98" t="str">
        <f ca="1">IF(J76="Yes",IF(Assumptions!$C$104="Next",J79,0),IF(Assumptions!$D$104=0,0,"S"))</f>
        <v>S</v>
      </c>
      <c r="K81" s="98" t="str">
        <f ca="1">IF(K76="Yes",IF(Assumptions!$C$104="Next",K79,0),IF(Assumptions!$D$104=0,0,"S"))</f>
        <v>S</v>
      </c>
      <c r="L81" s="98" t="str">
        <f ca="1">IF(L76="Yes",IF(Assumptions!$C$104="Next",L79,0),IF(Assumptions!$D$104=0,0,"S"))</f>
        <v>S</v>
      </c>
      <c r="M81" s="98" t="str">
        <f ca="1">IF(M76="Yes",IF(Assumptions!$C$104="Next",M79,0),IF(Assumptions!$D$104=0,0,"S"))</f>
        <v>S</v>
      </c>
      <c r="N81" s="98" t="str">
        <f ca="1">IF(N76="Yes",IF(Assumptions!$C$104="Next",N79,0),IF(Assumptions!$D$104=0,0,"S"))</f>
        <v>S</v>
      </c>
      <c r="O81" s="98" t="str">
        <f ca="1">IF(O76="Yes",IF(Assumptions!$C$104="Next",O79,0),IF(Assumptions!$D$104=0,0,"S"))</f>
        <v>S</v>
      </c>
      <c r="P81" s="72"/>
      <c r="Q81" s="72"/>
      <c r="R81" s="72"/>
      <c r="S81" s="72"/>
      <c r="T81" s="72"/>
    </row>
  </sheetData>
  <phoneticPr fontId="3" type="noConversion"/>
  <pageMargins left="0.59055118110236227" right="0.59055118110236227" top="0.59055118110236227" bottom="0.59055118110236227" header="0.39370078740157483" footer="0.39370078740157483"/>
  <pageSetup paperSize="9" scale="62" fitToWidth="0" orientation="landscape"/>
  <headerFooter alignWithMargins="0">
    <oddFooter>&amp;C&amp;9Page &amp;P of &amp;N</oddFooter>
  </headerFooter>
  <colBreaks count="1" manualBreakCount="1">
    <brk id="15" max="1048575" man="1"/>
  </colBreaks>
  <ignoredErrors>
    <ignoredError sqref="P55 P57 P47:P49 P79:P80 P38"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165"/>
  <sheetViews>
    <sheetView zoomScale="95" workbookViewId="0">
      <pane ySplit="8" topLeftCell="A9" activePane="bottomLeft" state="frozen"/>
      <selection pane="bottomLeft" activeCell="L16" sqref="L16"/>
    </sheetView>
  </sheetViews>
  <sheetFormatPr defaultColWidth="9.140625" defaultRowHeight="16.149999999999999" customHeight="1" x14ac:dyDescent="0.25"/>
  <cols>
    <col min="1" max="1" width="15.7109375" style="100" customWidth="1"/>
    <col min="2" max="3" width="14.85546875" style="11" bestFit="1" customWidth="1"/>
    <col min="4" max="6" width="13.7109375" style="11" customWidth="1"/>
    <col min="7" max="7" width="14.85546875" style="11" bestFit="1" customWidth="1"/>
    <col min="8" max="20" width="15.7109375" style="5" customWidth="1"/>
    <col min="21" max="16384" width="9.140625" style="5"/>
  </cols>
  <sheetData>
    <row r="1" spans="1:9" ht="16.149999999999999" customHeight="1" x14ac:dyDescent="0.25">
      <c r="A1" s="135" t="str">
        <f>IF(ISBLANK(Assumptions!$C$4),"Example Limited",Assumptions!$C$4)</f>
        <v>Maisha Transport Company Limited</v>
      </c>
      <c r="B1" s="3"/>
      <c r="C1" s="3"/>
      <c r="G1" s="99"/>
    </row>
    <row r="2" spans="1:9" ht="16.149999999999999" customHeight="1" x14ac:dyDescent="0.25">
      <c r="A2" s="6" t="s">
        <v>175</v>
      </c>
    </row>
    <row r="3" spans="1:9" ht="16.149999999999999" customHeight="1" x14ac:dyDescent="0.25">
      <c r="A3" s="6"/>
    </row>
    <row r="4" spans="1:9" ht="16.149999999999999" customHeight="1" x14ac:dyDescent="0.25">
      <c r="A4" s="100" t="s">
        <v>33</v>
      </c>
      <c r="B4" s="101">
        <f>Assumptions!$C$72</f>
        <v>0.12</v>
      </c>
      <c r="C4" s="102"/>
    </row>
    <row r="5" spans="1:9" ht="16.149999999999999" customHeight="1" x14ac:dyDescent="0.25">
      <c r="A5" s="100" t="s">
        <v>38</v>
      </c>
      <c r="B5" s="103">
        <f>Assumptions!$C$73</f>
        <v>5</v>
      </c>
      <c r="C5" s="104"/>
    </row>
    <row r="6" spans="1:9" ht="16.149999999999999" customHeight="1" x14ac:dyDescent="0.25">
      <c r="A6" s="100" t="s">
        <v>39</v>
      </c>
      <c r="B6" s="105" t="str">
        <f>Assumptions!$C$74</f>
        <v>No</v>
      </c>
      <c r="C6" s="106"/>
    </row>
    <row r="7" spans="1:9" ht="16.149999999999999" customHeight="1" x14ac:dyDescent="0.25">
      <c r="A7" s="30" t="s">
        <v>57</v>
      </c>
    </row>
    <row r="8" spans="1:9" s="81" customFormat="1" ht="25.5" x14ac:dyDescent="0.25">
      <c r="A8" s="107" t="s">
        <v>46</v>
      </c>
      <c r="B8" s="108" t="s">
        <v>43</v>
      </c>
      <c r="C8" s="108" t="s">
        <v>252</v>
      </c>
      <c r="D8" s="108" t="s">
        <v>42</v>
      </c>
      <c r="E8" s="108" t="s">
        <v>253</v>
      </c>
      <c r="F8" s="108" t="s">
        <v>56</v>
      </c>
      <c r="G8" s="108" t="s">
        <v>44</v>
      </c>
    </row>
    <row r="9" spans="1:9" s="113" customFormat="1" ht="16.149999999999999" customHeight="1" x14ac:dyDescent="0.25">
      <c r="A9" s="109">
        <f ca="1">IF(ISBLANK(Assumptions!$C$5)=TRUE,DATE(YEAR(TODAY()),MONTH(TODAY()),0),DATE(YEAR(Assumptions!$C$5),MONTH(Assumptions!$C$5),0))</f>
        <v>45838</v>
      </c>
      <c r="B9" s="110">
        <v>0</v>
      </c>
      <c r="C9" s="110">
        <f ca="1">-SUMIF(Assumptions!$A$76:$C$100,"LT1",Assumptions!$C$76:$C$100)</f>
        <v>7197807996</v>
      </c>
      <c r="D9" s="110">
        <v>0</v>
      </c>
      <c r="E9" s="110">
        <v>0</v>
      </c>
      <c r="F9" s="111">
        <f>IF($B$6="Yes",0,D9-E9)</f>
        <v>0</v>
      </c>
      <c r="G9" s="112">
        <f ca="1">IF(ROUND(SUM(B9:C9,-F9),0)=0,0,IF($B$6="Yes",SUM($C$9:C9),SUM(B9:C9,-F9)))</f>
        <v>7197807996</v>
      </c>
      <c r="I9" s="114"/>
    </row>
    <row r="10" spans="1:9" s="113" customFormat="1" ht="16.149999999999999" customHeight="1" x14ac:dyDescent="0.25">
      <c r="A10" s="109">
        <f ca="1">DATE(YEAR(A9),MONTH(A9)+2,0)</f>
        <v>45869</v>
      </c>
      <c r="B10" s="110">
        <f ca="1">G9</f>
        <v>7197807996</v>
      </c>
      <c r="C10" s="115">
        <v>0</v>
      </c>
      <c r="D10" s="111">
        <f ca="1">IF($B$6="Yes",0,IF(ROW(C10)-ROW($C$9)&gt;$B$5*12,-PMT($B$4/12,$B$5*12,SUM(OFFSET(C10,0,0,-$B$5*12,1)),0,0),-PMT($B$4/12,$B$5*12,SUM(OFFSET(C10,0,0,ROW($C$8)-ROW(C10),1)),0,0)))</f>
        <v>160111263.41298968</v>
      </c>
      <c r="E10" s="111">
        <f ca="1">(G9+C10)*$B$4/12</f>
        <v>71978079.959999993</v>
      </c>
      <c r="F10" s="111">
        <f t="shared" ref="F10:F73" ca="1" si="0">IF($B$6="Yes",0,D10-E10)</f>
        <v>88133183.452989683</v>
      </c>
      <c r="G10" s="112">
        <f ca="1">IF(ROUND(SUM(B10:C10,-F10),0)=0,0,IF($B$6="Yes",SUM($C$9:C10),SUM(B10:C10,-F10)))</f>
        <v>7109674812.5470104</v>
      </c>
      <c r="I10" s="114"/>
    </row>
    <row r="11" spans="1:9" s="113" customFormat="1" ht="16.149999999999999" customHeight="1" x14ac:dyDescent="0.25">
      <c r="A11" s="109">
        <f t="shared" ref="A11:A74" ca="1" si="1">DATE(YEAR(A10),MONTH(A10)+2,0)</f>
        <v>45900</v>
      </c>
      <c r="B11" s="110">
        <f t="shared" ref="B11:B74" ca="1" si="2">G10</f>
        <v>7109674812.5470104</v>
      </c>
      <c r="C11" s="115">
        <v>0</v>
      </c>
      <c r="D11" s="111">
        <f t="shared" ref="D11:D74" ca="1" si="3">IF($B$6="Yes",0,IF(ROW(C11)-ROW($C$9)&gt;$B$5*12,-PMT($B$4/12,$B$5*12,SUM(OFFSET(C11,0,0,-$B$5*12,1)),0,0),-PMT($B$4/12,$B$5*12,SUM(OFFSET(C11,0,0,ROW($C$8)-ROW(C11),1)),0,0)))</f>
        <v>160111263.41298968</v>
      </c>
      <c r="E11" s="111">
        <f t="shared" ref="E11:E74" ca="1" si="4">(G10+C11)*$B$4/12</f>
        <v>71096748.125470102</v>
      </c>
      <c r="F11" s="111">
        <f t="shared" ca="1" si="0"/>
        <v>89014515.287519574</v>
      </c>
      <c r="G11" s="112">
        <f ca="1">IF(ROUND(SUM(B11:C11,-F11),0)=0,0,IF($B$6="Yes",SUM($C$9:C11),SUM(B11:C11,-F11)))</f>
        <v>7020660297.259491</v>
      </c>
    </row>
    <row r="12" spans="1:9" s="113" customFormat="1" ht="16.149999999999999" customHeight="1" x14ac:dyDescent="0.25">
      <c r="A12" s="109">
        <f t="shared" ca="1" si="1"/>
        <v>45930</v>
      </c>
      <c r="B12" s="110">
        <f t="shared" ca="1" si="2"/>
        <v>7020660297.259491</v>
      </c>
      <c r="C12" s="115">
        <v>0</v>
      </c>
      <c r="D12" s="111">
        <f t="shared" ca="1" si="3"/>
        <v>160111263.41298968</v>
      </c>
      <c r="E12" s="111">
        <f t="shared" ca="1" si="4"/>
        <v>70206602.972594902</v>
      </c>
      <c r="F12" s="111">
        <f t="shared" ca="1" si="0"/>
        <v>89904660.440394774</v>
      </c>
      <c r="G12" s="112">
        <f ca="1">IF(ROUND(SUM(B12:C12,-F12),0)=0,0,IF($B$6="Yes",SUM($C$9:C12),SUM(B12:C12,-F12)))</f>
        <v>6930755636.8190966</v>
      </c>
    </row>
    <row r="13" spans="1:9" s="113" customFormat="1" ht="16.149999999999999" customHeight="1" x14ac:dyDescent="0.25">
      <c r="A13" s="109">
        <f t="shared" ca="1" si="1"/>
        <v>45961</v>
      </c>
      <c r="B13" s="110">
        <f t="shared" ca="1" si="2"/>
        <v>6930755636.8190966</v>
      </c>
      <c r="C13" s="115">
        <v>0</v>
      </c>
      <c r="D13" s="111">
        <f t="shared" ca="1" si="3"/>
        <v>160111263.41298968</v>
      </c>
      <c r="E13" s="111">
        <f t="shared" ca="1" si="4"/>
        <v>69307556.368190959</v>
      </c>
      <c r="F13" s="111">
        <f t="shared" ca="1" si="0"/>
        <v>90803707.044798717</v>
      </c>
      <c r="G13" s="112">
        <f ca="1">IF(ROUND(SUM(B13:C13,-F13),0)=0,0,IF($B$6="Yes",SUM($C$9:C13),SUM(B13:C13,-F13)))</f>
        <v>6839951929.7742977</v>
      </c>
    </row>
    <row r="14" spans="1:9" s="113" customFormat="1" ht="16.149999999999999" customHeight="1" x14ac:dyDescent="0.25">
      <c r="A14" s="109">
        <f t="shared" ca="1" si="1"/>
        <v>45991</v>
      </c>
      <c r="B14" s="110">
        <f t="shared" ca="1" si="2"/>
        <v>6839951929.7742977</v>
      </c>
      <c r="C14" s="115">
        <v>0</v>
      </c>
      <c r="D14" s="111">
        <f t="shared" ca="1" si="3"/>
        <v>160111263.41298968</v>
      </c>
      <c r="E14" s="111">
        <f t="shared" ca="1" si="4"/>
        <v>68399519.297742978</v>
      </c>
      <c r="F14" s="111">
        <f t="shared" ca="1" si="0"/>
        <v>91711744.115246698</v>
      </c>
      <c r="G14" s="112">
        <f ca="1">IF(ROUND(SUM(B14:C14,-F14),0)=0,0,IF($B$6="Yes",SUM($C$9:C14),SUM(B14:C14,-F14)))</f>
        <v>6748240185.6590509</v>
      </c>
    </row>
    <row r="15" spans="1:9" s="113" customFormat="1" ht="16.149999999999999" customHeight="1" x14ac:dyDescent="0.25">
      <c r="A15" s="109">
        <f t="shared" ca="1" si="1"/>
        <v>46022</v>
      </c>
      <c r="B15" s="110">
        <f t="shared" ca="1" si="2"/>
        <v>6748240185.6590509</v>
      </c>
      <c r="C15" s="115">
        <v>0</v>
      </c>
      <c r="D15" s="111">
        <f t="shared" ca="1" si="3"/>
        <v>160111263.41298968</v>
      </c>
      <c r="E15" s="111">
        <f t="shared" ca="1" si="4"/>
        <v>67482401.856590509</v>
      </c>
      <c r="F15" s="111">
        <f t="shared" ca="1" si="0"/>
        <v>92628861.556399167</v>
      </c>
      <c r="G15" s="112">
        <f ca="1">IF(ROUND(SUM(B15:C15,-F15),0)=0,0,IF($B$6="Yes",SUM($C$9:C15),SUM(B15:C15,-F15)))</f>
        <v>6655611324.1026516</v>
      </c>
    </row>
    <row r="16" spans="1:9" s="113" customFormat="1" ht="16.149999999999999" customHeight="1" x14ac:dyDescent="0.25">
      <c r="A16" s="109">
        <f t="shared" ca="1" si="1"/>
        <v>46053</v>
      </c>
      <c r="B16" s="110">
        <f t="shared" ca="1" si="2"/>
        <v>6655611324.1026516</v>
      </c>
      <c r="C16" s="115">
        <v>0</v>
      </c>
      <c r="D16" s="111">
        <f t="shared" ca="1" si="3"/>
        <v>160111263.41298968</v>
      </c>
      <c r="E16" s="111">
        <f t="shared" ca="1" si="4"/>
        <v>66556113.241026513</v>
      </c>
      <c r="F16" s="111">
        <f t="shared" ca="1" si="0"/>
        <v>93555150.171963155</v>
      </c>
      <c r="G16" s="112">
        <f ca="1">IF(ROUND(SUM(B16:C16,-F16),0)=0,0,IF($B$6="Yes",SUM($C$9:C16),SUM(B16:C16,-F16)))</f>
        <v>6562056173.9306889</v>
      </c>
    </row>
    <row r="17" spans="1:7" s="113" customFormat="1" ht="16.149999999999999" customHeight="1" x14ac:dyDescent="0.25">
      <c r="A17" s="109">
        <f t="shared" ca="1" si="1"/>
        <v>46081</v>
      </c>
      <c r="B17" s="110">
        <f t="shared" ca="1" si="2"/>
        <v>6562056173.9306889</v>
      </c>
      <c r="C17" s="115">
        <v>0</v>
      </c>
      <c r="D17" s="111">
        <f t="shared" ca="1" si="3"/>
        <v>160111263.41298968</v>
      </c>
      <c r="E17" s="111">
        <f t="shared" ca="1" si="4"/>
        <v>65620561.739306889</v>
      </c>
      <c r="F17" s="111">
        <f t="shared" ca="1" si="0"/>
        <v>94490701.673682779</v>
      </c>
      <c r="G17" s="112">
        <f ca="1">IF(ROUND(SUM(B17:C17,-F17),0)=0,0,IF($B$6="Yes",SUM($C$9:C17),SUM(B17:C17,-F17)))</f>
        <v>6467565472.2570057</v>
      </c>
    </row>
    <row r="18" spans="1:7" s="113" customFormat="1" ht="16.149999999999999" customHeight="1" x14ac:dyDescent="0.25">
      <c r="A18" s="109">
        <f t="shared" ca="1" si="1"/>
        <v>46112</v>
      </c>
      <c r="B18" s="110">
        <f t="shared" ca="1" si="2"/>
        <v>6467565472.2570057</v>
      </c>
      <c r="C18" s="115">
        <v>0</v>
      </c>
      <c r="D18" s="111">
        <f t="shared" ca="1" si="3"/>
        <v>160111263.41298968</v>
      </c>
      <c r="E18" s="111">
        <f t="shared" ca="1" si="4"/>
        <v>64675654.722570054</v>
      </c>
      <c r="F18" s="111">
        <f t="shared" ca="1" si="0"/>
        <v>95435608.690419614</v>
      </c>
      <c r="G18" s="112">
        <f ca="1">IF(ROUND(SUM(B18:C18,-F18),0)=0,0,IF($B$6="Yes",SUM($C$9:C18),SUM(B18:C18,-F18)))</f>
        <v>6372129863.5665865</v>
      </c>
    </row>
    <row r="19" spans="1:7" s="113" customFormat="1" ht="16.149999999999999" customHeight="1" x14ac:dyDescent="0.25">
      <c r="A19" s="109">
        <f t="shared" ca="1" si="1"/>
        <v>46142</v>
      </c>
      <c r="B19" s="110">
        <f t="shared" ca="1" si="2"/>
        <v>6372129863.5665865</v>
      </c>
      <c r="C19" s="115">
        <v>0</v>
      </c>
      <c r="D19" s="111">
        <f t="shared" ca="1" si="3"/>
        <v>160111263.41298968</v>
      </c>
      <c r="E19" s="111">
        <f t="shared" ca="1" si="4"/>
        <v>63721298.635665864</v>
      </c>
      <c r="F19" s="111">
        <f t="shared" ca="1" si="0"/>
        <v>96389964.777323812</v>
      </c>
      <c r="G19" s="112">
        <f ca="1">IF(ROUND(SUM(B19:C19,-F19),0)=0,0,IF($B$6="Yes",SUM($C$9:C19),SUM(B19:C19,-F19)))</f>
        <v>6275739898.7892628</v>
      </c>
    </row>
    <row r="20" spans="1:7" ht="16.149999999999999" customHeight="1" x14ac:dyDescent="0.25">
      <c r="A20" s="109">
        <f t="shared" ca="1" si="1"/>
        <v>46173</v>
      </c>
      <c r="B20" s="110">
        <f t="shared" ca="1" si="2"/>
        <v>6275739898.7892628</v>
      </c>
      <c r="C20" s="115">
        <v>0</v>
      </c>
      <c r="D20" s="111">
        <f t="shared" ca="1" si="3"/>
        <v>160111263.41298968</v>
      </c>
      <c r="E20" s="111">
        <f t="shared" ca="1" si="4"/>
        <v>62757398.987892628</v>
      </c>
      <c r="F20" s="111">
        <f t="shared" ca="1" si="0"/>
        <v>97353864.425097048</v>
      </c>
      <c r="G20" s="112">
        <f ca="1">IF(ROUND(SUM(B20:C20,-F20),0)=0,0,IF($B$6="Yes",SUM($C$9:C20),SUM(B20:C20,-F20)))</f>
        <v>6178386034.3641653</v>
      </c>
    </row>
    <row r="21" spans="1:7" ht="16.149999999999999" customHeight="1" x14ac:dyDescent="0.25">
      <c r="A21" s="109">
        <f t="shared" ca="1" si="1"/>
        <v>46203</v>
      </c>
      <c r="B21" s="110">
        <f t="shared" ca="1" si="2"/>
        <v>6178386034.3641653</v>
      </c>
      <c r="C21" s="115">
        <v>0</v>
      </c>
      <c r="D21" s="111">
        <f t="shared" ca="1" si="3"/>
        <v>160111263.41298968</v>
      </c>
      <c r="E21" s="111">
        <f t="shared" ca="1" si="4"/>
        <v>61783860.343641646</v>
      </c>
      <c r="F21" s="111">
        <f t="shared" ca="1" si="0"/>
        <v>98327403.069348037</v>
      </c>
      <c r="G21" s="112">
        <f ca="1">IF(ROUND(SUM(B21:C21,-F21),0)=0,0,IF($B$6="Yes",SUM($C$9:C21),SUM(B21:C21,-F21)))</f>
        <v>6080058631.294817</v>
      </c>
    </row>
    <row r="22" spans="1:7" ht="16.149999999999999" customHeight="1" x14ac:dyDescent="0.25">
      <c r="A22" s="109">
        <f t="shared" ca="1" si="1"/>
        <v>46234</v>
      </c>
      <c r="B22" s="110">
        <f t="shared" ca="1" si="2"/>
        <v>6080058631.294817</v>
      </c>
      <c r="C22" s="115">
        <v>0</v>
      </c>
      <c r="D22" s="111">
        <f t="shared" ca="1" si="3"/>
        <v>160111263.41298968</v>
      </c>
      <c r="E22" s="111">
        <f t="shared" ca="1" si="4"/>
        <v>60800586.312948167</v>
      </c>
      <c r="F22" s="111">
        <f t="shared" ca="1" si="0"/>
        <v>99310677.100041509</v>
      </c>
      <c r="G22" s="112">
        <f ca="1">IF(ROUND(SUM(B22:C22,-F22),0)=0,0,IF($B$6="Yes",SUM($C$9:C22),SUM(B22:C22,-F22)))</f>
        <v>5980747954.1947756</v>
      </c>
    </row>
    <row r="23" spans="1:7" s="64" customFormat="1" ht="16.149999999999999" customHeight="1" x14ac:dyDescent="0.25">
      <c r="A23" s="109">
        <f t="shared" ca="1" si="1"/>
        <v>46265</v>
      </c>
      <c r="B23" s="110">
        <f t="shared" ca="1" si="2"/>
        <v>5980747954.1947756</v>
      </c>
      <c r="C23" s="115">
        <v>0</v>
      </c>
      <c r="D23" s="111">
        <f t="shared" ca="1" si="3"/>
        <v>160111263.41298968</v>
      </c>
      <c r="E23" s="111">
        <f t="shared" ca="1" si="4"/>
        <v>59807479.541947752</v>
      </c>
      <c r="F23" s="111">
        <f t="shared" ca="1" si="0"/>
        <v>100303783.87104192</v>
      </c>
      <c r="G23" s="112">
        <f ca="1">IF(ROUND(SUM(B23:C23,-F23),0)=0,0,IF($B$6="Yes",SUM($C$9:C23),SUM(B23:C23,-F23)))</f>
        <v>5880444170.3237333</v>
      </c>
    </row>
    <row r="24" spans="1:7" ht="16.149999999999999" customHeight="1" x14ac:dyDescent="0.25">
      <c r="A24" s="109">
        <f t="shared" ca="1" si="1"/>
        <v>46295</v>
      </c>
      <c r="B24" s="110">
        <f t="shared" ca="1" si="2"/>
        <v>5880444170.3237333</v>
      </c>
      <c r="C24" s="115">
        <v>0</v>
      </c>
      <c r="D24" s="111">
        <f t="shared" ca="1" si="3"/>
        <v>160111263.41298968</v>
      </c>
      <c r="E24" s="111">
        <f t="shared" ca="1" si="4"/>
        <v>58804441.703237332</v>
      </c>
      <c r="F24" s="111">
        <f t="shared" ca="1" si="0"/>
        <v>101306821.70975235</v>
      </c>
      <c r="G24" s="112">
        <f ca="1">IF(ROUND(SUM(B24:C24,-F24),0)=0,0,IF($B$6="Yes",SUM($C$9:C24),SUM(B24:C24,-F24)))</f>
        <v>5779137348.6139812</v>
      </c>
    </row>
    <row r="25" spans="1:7" ht="16.149999999999999" customHeight="1" x14ac:dyDescent="0.25">
      <c r="A25" s="109">
        <f t="shared" ca="1" si="1"/>
        <v>46326</v>
      </c>
      <c r="B25" s="110">
        <f t="shared" ca="1" si="2"/>
        <v>5779137348.6139812</v>
      </c>
      <c r="C25" s="115">
        <v>0</v>
      </c>
      <c r="D25" s="111">
        <f t="shared" ca="1" si="3"/>
        <v>160111263.41298968</v>
      </c>
      <c r="E25" s="111">
        <f t="shared" ca="1" si="4"/>
        <v>57791373.486139812</v>
      </c>
      <c r="F25" s="111">
        <f t="shared" ca="1" si="0"/>
        <v>102319889.92684987</v>
      </c>
      <c r="G25" s="112">
        <f ca="1">IF(ROUND(SUM(B25:C25,-F25),0)=0,0,IF($B$6="Yes",SUM($C$9:C25),SUM(B25:C25,-F25)))</f>
        <v>5676817458.6871309</v>
      </c>
    </row>
    <row r="26" spans="1:7" ht="16.149999999999999" customHeight="1" x14ac:dyDescent="0.25">
      <c r="A26" s="109">
        <f t="shared" ca="1" si="1"/>
        <v>46356</v>
      </c>
      <c r="B26" s="110">
        <f t="shared" ca="1" si="2"/>
        <v>5676817458.6871309</v>
      </c>
      <c r="C26" s="115">
        <v>0</v>
      </c>
      <c r="D26" s="111">
        <f t="shared" ca="1" si="3"/>
        <v>160111263.41298968</v>
      </c>
      <c r="E26" s="111">
        <f t="shared" ca="1" si="4"/>
        <v>56768174.586871304</v>
      </c>
      <c r="F26" s="111">
        <f t="shared" ca="1" si="0"/>
        <v>103343088.82611838</v>
      </c>
      <c r="G26" s="112">
        <f ca="1">IF(ROUND(SUM(B26:C26,-F26),0)=0,0,IF($B$6="Yes",SUM($C$9:C26),SUM(B26:C26,-F26)))</f>
        <v>5573474369.8610125</v>
      </c>
    </row>
    <row r="27" spans="1:7" ht="16.149999999999999" customHeight="1" x14ac:dyDescent="0.25">
      <c r="A27" s="109">
        <f t="shared" ca="1" si="1"/>
        <v>46387</v>
      </c>
      <c r="B27" s="110">
        <f t="shared" ca="1" si="2"/>
        <v>5573474369.8610125</v>
      </c>
      <c r="C27" s="115">
        <v>0</v>
      </c>
      <c r="D27" s="111">
        <f t="shared" ca="1" si="3"/>
        <v>160111263.41298968</v>
      </c>
      <c r="E27" s="111">
        <f t="shared" ca="1" si="4"/>
        <v>55734743.698610127</v>
      </c>
      <c r="F27" s="111">
        <f t="shared" ca="1" si="0"/>
        <v>104376519.71437955</v>
      </c>
      <c r="G27" s="112">
        <f ca="1">IF(ROUND(SUM(B27:C27,-F27),0)=0,0,IF($B$6="Yes",SUM($C$9:C27),SUM(B27:C27,-F27)))</f>
        <v>5469097850.1466331</v>
      </c>
    </row>
    <row r="28" spans="1:7" ht="16.149999999999999" customHeight="1" x14ac:dyDescent="0.25">
      <c r="A28" s="109">
        <f t="shared" ca="1" si="1"/>
        <v>46418</v>
      </c>
      <c r="B28" s="110">
        <f t="shared" ca="1" si="2"/>
        <v>5469097850.1466331</v>
      </c>
      <c r="C28" s="115">
        <v>0</v>
      </c>
      <c r="D28" s="111">
        <f t="shared" ca="1" si="3"/>
        <v>160111263.41298968</v>
      </c>
      <c r="E28" s="111">
        <f t="shared" ca="1" si="4"/>
        <v>54690978.501466334</v>
      </c>
      <c r="F28" s="111">
        <f t="shared" ca="1" si="0"/>
        <v>105420284.91152334</v>
      </c>
      <c r="G28" s="112">
        <f ca="1">IF(ROUND(SUM(B28:C28,-F28),0)=0,0,IF($B$6="Yes",SUM($C$9:C28),SUM(B28:C28,-F28)))</f>
        <v>5363677565.2351093</v>
      </c>
    </row>
    <row r="29" spans="1:7" ht="16.149999999999999" customHeight="1" x14ac:dyDescent="0.25">
      <c r="A29" s="109">
        <f t="shared" ca="1" si="1"/>
        <v>46446</v>
      </c>
      <c r="B29" s="110">
        <f t="shared" ca="1" si="2"/>
        <v>5363677565.2351093</v>
      </c>
      <c r="C29" s="115">
        <v>0</v>
      </c>
      <c r="D29" s="111">
        <f t="shared" ca="1" si="3"/>
        <v>160111263.41298968</v>
      </c>
      <c r="E29" s="111">
        <f t="shared" ca="1" si="4"/>
        <v>53636775.652351089</v>
      </c>
      <c r="F29" s="111">
        <f t="shared" ca="1" si="0"/>
        <v>106474487.76063859</v>
      </c>
      <c r="G29" s="112">
        <f ca="1">IF(ROUND(SUM(B29:C29,-F29),0)=0,0,IF($B$6="Yes",SUM($C$9:C29),SUM(B29:C29,-F29)))</f>
        <v>5257203077.4744711</v>
      </c>
    </row>
    <row r="30" spans="1:7" ht="16.149999999999999" customHeight="1" x14ac:dyDescent="0.25">
      <c r="A30" s="109">
        <f t="shared" ca="1" si="1"/>
        <v>46477</v>
      </c>
      <c r="B30" s="110">
        <f t="shared" ca="1" si="2"/>
        <v>5257203077.4744711</v>
      </c>
      <c r="C30" s="115">
        <v>0</v>
      </c>
      <c r="D30" s="111">
        <f t="shared" ca="1" si="3"/>
        <v>160111263.41298968</v>
      </c>
      <c r="E30" s="111">
        <f t="shared" ca="1" si="4"/>
        <v>52572030.774744712</v>
      </c>
      <c r="F30" s="111">
        <f t="shared" ca="1" si="0"/>
        <v>107539232.63824496</v>
      </c>
      <c r="G30" s="112">
        <f ca="1">IF(ROUND(SUM(B30:C30,-F30),0)=0,0,IF($B$6="Yes",SUM($C$9:C30),SUM(B30:C30,-F30)))</f>
        <v>5149663844.8362265</v>
      </c>
    </row>
    <row r="31" spans="1:7" ht="16.149999999999999" customHeight="1" x14ac:dyDescent="0.25">
      <c r="A31" s="109">
        <f t="shared" ca="1" si="1"/>
        <v>46507</v>
      </c>
      <c r="B31" s="110">
        <f t="shared" ca="1" si="2"/>
        <v>5149663844.8362265</v>
      </c>
      <c r="C31" s="115">
        <v>0</v>
      </c>
      <c r="D31" s="111">
        <f t="shared" ca="1" si="3"/>
        <v>160111263.41298968</v>
      </c>
      <c r="E31" s="111">
        <f t="shared" ca="1" si="4"/>
        <v>51496638.448362261</v>
      </c>
      <c r="F31" s="111">
        <f t="shared" ca="1" si="0"/>
        <v>108614624.96462741</v>
      </c>
      <c r="G31" s="112">
        <f ca="1">IF(ROUND(SUM(B31:C31,-F31),0)=0,0,IF($B$6="Yes",SUM($C$9:C31),SUM(B31:C31,-F31)))</f>
        <v>5041049219.8715992</v>
      </c>
    </row>
    <row r="32" spans="1:7" ht="16.149999999999999" customHeight="1" x14ac:dyDescent="0.25">
      <c r="A32" s="109">
        <f t="shared" ca="1" si="1"/>
        <v>46538</v>
      </c>
      <c r="B32" s="110">
        <f t="shared" ca="1" si="2"/>
        <v>5041049219.8715992</v>
      </c>
      <c r="C32" s="115">
        <v>0</v>
      </c>
      <c r="D32" s="111">
        <f t="shared" ca="1" si="3"/>
        <v>160111263.41298968</v>
      </c>
      <c r="E32" s="111">
        <f t="shared" ca="1" si="4"/>
        <v>50410492.198715992</v>
      </c>
      <c r="F32" s="111">
        <f t="shared" ca="1" si="0"/>
        <v>109700771.21427369</v>
      </c>
      <c r="G32" s="112">
        <f ca="1">IF(ROUND(SUM(B32:C32,-F32),0)=0,0,IF($B$6="Yes",SUM($C$9:C32),SUM(B32:C32,-F32)))</f>
        <v>4931348448.6573257</v>
      </c>
    </row>
    <row r="33" spans="1:7" ht="16.149999999999999" customHeight="1" x14ac:dyDescent="0.25">
      <c r="A33" s="109">
        <f t="shared" ca="1" si="1"/>
        <v>46568</v>
      </c>
      <c r="B33" s="110">
        <f t="shared" ca="1" si="2"/>
        <v>4931348448.6573257</v>
      </c>
      <c r="C33" s="115">
        <v>0</v>
      </c>
      <c r="D33" s="111">
        <f t="shared" ca="1" si="3"/>
        <v>160111263.41298968</v>
      </c>
      <c r="E33" s="111">
        <f t="shared" ca="1" si="4"/>
        <v>49313484.486573257</v>
      </c>
      <c r="F33" s="111">
        <f t="shared" ca="1" si="0"/>
        <v>110797778.92641643</v>
      </c>
      <c r="G33" s="112">
        <f ca="1">IF(ROUND(SUM(B33:C33,-F33),0)=0,0,IF($B$6="Yes",SUM($C$9:C33),SUM(B33:C33,-F33)))</f>
        <v>4820550669.7309093</v>
      </c>
    </row>
    <row r="34" spans="1:7" ht="16.149999999999999" customHeight="1" x14ac:dyDescent="0.25">
      <c r="A34" s="109">
        <f t="shared" ca="1" si="1"/>
        <v>46599</v>
      </c>
      <c r="B34" s="110">
        <f t="shared" ca="1" si="2"/>
        <v>4820550669.7309093</v>
      </c>
      <c r="C34" s="115">
        <v>0</v>
      </c>
      <c r="D34" s="111">
        <f t="shared" ca="1" si="3"/>
        <v>160111263.41298968</v>
      </c>
      <c r="E34" s="111">
        <f t="shared" ca="1" si="4"/>
        <v>48205506.697309099</v>
      </c>
      <c r="F34" s="111">
        <f t="shared" ca="1" si="0"/>
        <v>111905756.71568057</v>
      </c>
      <c r="G34" s="112">
        <f ca="1">IF(ROUND(SUM(B34:C34,-F34),0)=0,0,IF($B$6="Yes",SUM($C$9:C34),SUM(B34:C34,-F34)))</f>
        <v>4708644913.0152292</v>
      </c>
    </row>
    <row r="35" spans="1:7" ht="16.149999999999999" customHeight="1" x14ac:dyDescent="0.25">
      <c r="A35" s="109">
        <f t="shared" ca="1" si="1"/>
        <v>46630</v>
      </c>
      <c r="B35" s="110">
        <f t="shared" ca="1" si="2"/>
        <v>4708644913.0152292</v>
      </c>
      <c r="C35" s="115">
        <v>0</v>
      </c>
      <c r="D35" s="111">
        <f t="shared" ca="1" si="3"/>
        <v>160111263.41298968</v>
      </c>
      <c r="E35" s="111">
        <f t="shared" ca="1" si="4"/>
        <v>47086449.130152293</v>
      </c>
      <c r="F35" s="111">
        <f t="shared" ca="1" si="0"/>
        <v>113024814.28283739</v>
      </c>
      <c r="G35" s="112">
        <f ca="1">IF(ROUND(SUM(B35:C35,-F35),0)=0,0,IF($B$6="Yes",SUM($C$9:C35),SUM(B35:C35,-F35)))</f>
        <v>4595620098.7323914</v>
      </c>
    </row>
    <row r="36" spans="1:7" ht="16.149999999999999" customHeight="1" x14ac:dyDescent="0.25">
      <c r="A36" s="109">
        <f t="shared" ca="1" si="1"/>
        <v>46660</v>
      </c>
      <c r="B36" s="110">
        <f t="shared" ca="1" si="2"/>
        <v>4595620098.7323914</v>
      </c>
      <c r="C36" s="115">
        <v>0</v>
      </c>
      <c r="D36" s="111">
        <f t="shared" ca="1" si="3"/>
        <v>160111263.41298968</v>
      </c>
      <c r="E36" s="111">
        <f t="shared" ca="1" si="4"/>
        <v>45956200.98732391</v>
      </c>
      <c r="F36" s="111">
        <f t="shared" ca="1" si="0"/>
        <v>114155062.42566577</v>
      </c>
      <c r="G36" s="112">
        <f ca="1">IF(ROUND(SUM(B36:C36,-F36),0)=0,0,IF($B$6="Yes",SUM($C$9:C36),SUM(B36:C36,-F36)))</f>
        <v>4481465036.3067255</v>
      </c>
    </row>
    <row r="37" spans="1:7" ht="16.149999999999999" customHeight="1" x14ac:dyDescent="0.25">
      <c r="A37" s="109">
        <f t="shared" ca="1" si="1"/>
        <v>46691</v>
      </c>
      <c r="B37" s="110">
        <f t="shared" ca="1" si="2"/>
        <v>4481465036.3067255</v>
      </c>
      <c r="C37" s="115">
        <v>0</v>
      </c>
      <c r="D37" s="111">
        <f t="shared" ca="1" si="3"/>
        <v>160111263.41298968</v>
      </c>
      <c r="E37" s="111">
        <f t="shared" ca="1" si="4"/>
        <v>44814650.363067247</v>
      </c>
      <c r="F37" s="111">
        <f t="shared" ca="1" si="0"/>
        <v>115296613.04992244</v>
      </c>
      <c r="G37" s="112">
        <f ca="1">IF(ROUND(SUM(B37:C37,-F37),0)=0,0,IF($B$6="Yes",SUM($C$9:C37),SUM(B37:C37,-F37)))</f>
        <v>4366168423.2568035</v>
      </c>
    </row>
    <row r="38" spans="1:7" ht="16.149999999999999" customHeight="1" x14ac:dyDescent="0.25">
      <c r="A38" s="109">
        <f t="shared" ca="1" si="1"/>
        <v>46721</v>
      </c>
      <c r="B38" s="110">
        <f t="shared" ca="1" si="2"/>
        <v>4366168423.2568035</v>
      </c>
      <c r="C38" s="115">
        <v>0</v>
      </c>
      <c r="D38" s="111">
        <f t="shared" ca="1" si="3"/>
        <v>160111263.41298968</v>
      </c>
      <c r="E38" s="111">
        <f t="shared" ca="1" si="4"/>
        <v>43661684.232568033</v>
      </c>
      <c r="F38" s="111">
        <f t="shared" ca="1" si="0"/>
        <v>116449579.18042165</v>
      </c>
      <c r="G38" s="112">
        <f ca="1">IF(ROUND(SUM(B38:C38,-F38),0)=0,0,IF($B$6="Yes",SUM($C$9:C38),SUM(B38:C38,-F38)))</f>
        <v>4249718844.0763817</v>
      </c>
    </row>
    <row r="39" spans="1:7" ht="16.149999999999999" customHeight="1" x14ac:dyDescent="0.25">
      <c r="A39" s="109">
        <f t="shared" ca="1" si="1"/>
        <v>46752</v>
      </c>
      <c r="B39" s="110">
        <f t="shared" ca="1" si="2"/>
        <v>4249718844.0763817</v>
      </c>
      <c r="C39" s="115">
        <v>0</v>
      </c>
      <c r="D39" s="111">
        <f t="shared" ca="1" si="3"/>
        <v>160111263.41298968</v>
      </c>
      <c r="E39" s="111">
        <f t="shared" ca="1" si="4"/>
        <v>42497188.440763816</v>
      </c>
      <c r="F39" s="111">
        <f t="shared" ca="1" si="0"/>
        <v>117614074.97222586</v>
      </c>
      <c r="G39" s="112">
        <f ca="1">IF(ROUND(SUM(B39:C39,-F39),0)=0,0,IF($B$6="Yes",SUM($C$9:C39),SUM(B39:C39,-F39)))</f>
        <v>4132104769.104156</v>
      </c>
    </row>
    <row r="40" spans="1:7" ht="16.149999999999999" customHeight="1" x14ac:dyDescent="0.25">
      <c r="A40" s="109">
        <f t="shared" ca="1" si="1"/>
        <v>46783</v>
      </c>
      <c r="B40" s="110">
        <f t="shared" ca="1" si="2"/>
        <v>4132104769.104156</v>
      </c>
      <c r="C40" s="115">
        <v>0</v>
      </c>
      <c r="D40" s="111">
        <f t="shared" ca="1" si="3"/>
        <v>160111263.41298968</v>
      </c>
      <c r="E40" s="111">
        <f t="shared" ca="1" si="4"/>
        <v>41321047.691041559</v>
      </c>
      <c r="F40" s="111">
        <f t="shared" ca="1" si="0"/>
        <v>118790215.72194812</v>
      </c>
      <c r="G40" s="112">
        <f ca="1">IF(ROUND(SUM(B40:C40,-F40),0)=0,0,IF($B$6="Yes",SUM($C$9:C40),SUM(B40:C40,-F40)))</f>
        <v>4013314553.3822079</v>
      </c>
    </row>
    <row r="41" spans="1:7" ht="16.149999999999999" customHeight="1" x14ac:dyDescent="0.25">
      <c r="A41" s="109">
        <f t="shared" ca="1" si="1"/>
        <v>46812</v>
      </c>
      <c r="B41" s="110">
        <f t="shared" ca="1" si="2"/>
        <v>4013314553.3822079</v>
      </c>
      <c r="C41" s="115">
        <v>0</v>
      </c>
      <c r="D41" s="111">
        <f t="shared" ca="1" si="3"/>
        <v>160111263.41298968</v>
      </c>
      <c r="E41" s="111">
        <f t="shared" ca="1" si="4"/>
        <v>40133145.533822082</v>
      </c>
      <c r="F41" s="111">
        <f t="shared" ca="1" si="0"/>
        <v>119978117.87916759</v>
      </c>
      <c r="G41" s="112">
        <f ca="1">IF(ROUND(SUM(B41:C41,-F41),0)=0,0,IF($B$6="Yes",SUM($C$9:C41),SUM(B41:C41,-F41)))</f>
        <v>3893336435.5030403</v>
      </c>
    </row>
    <row r="42" spans="1:7" ht="16.149999999999999" customHeight="1" x14ac:dyDescent="0.25">
      <c r="A42" s="109">
        <f t="shared" ca="1" si="1"/>
        <v>46843</v>
      </c>
      <c r="B42" s="110">
        <f t="shared" ca="1" si="2"/>
        <v>3893336435.5030403</v>
      </c>
      <c r="C42" s="115">
        <v>0</v>
      </c>
      <c r="D42" s="111">
        <f t="shared" ca="1" si="3"/>
        <v>160111263.41298968</v>
      </c>
      <c r="E42" s="111">
        <f t="shared" ca="1" si="4"/>
        <v>38933364.355030403</v>
      </c>
      <c r="F42" s="111">
        <f t="shared" ca="1" si="0"/>
        <v>121177899.05795927</v>
      </c>
      <c r="G42" s="112">
        <f ca="1">IF(ROUND(SUM(B42:C42,-F42),0)=0,0,IF($B$6="Yes",SUM($C$9:C42),SUM(B42:C42,-F42)))</f>
        <v>3772158536.4450812</v>
      </c>
    </row>
    <row r="43" spans="1:7" ht="16.149999999999999" customHeight="1" x14ac:dyDescent="0.25">
      <c r="A43" s="109">
        <f t="shared" ca="1" si="1"/>
        <v>46873</v>
      </c>
      <c r="B43" s="110">
        <f t="shared" ca="1" si="2"/>
        <v>3772158536.4450812</v>
      </c>
      <c r="C43" s="115">
        <v>0</v>
      </c>
      <c r="D43" s="111">
        <f t="shared" ca="1" si="3"/>
        <v>160111263.41298968</v>
      </c>
      <c r="E43" s="111">
        <f t="shared" ca="1" si="4"/>
        <v>37721585.364450812</v>
      </c>
      <c r="F43" s="111">
        <f t="shared" ca="1" si="0"/>
        <v>122389678.04853886</v>
      </c>
      <c r="G43" s="112">
        <f ca="1">IF(ROUND(SUM(B43:C43,-F43),0)=0,0,IF($B$6="Yes",SUM($C$9:C43),SUM(B43:C43,-F43)))</f>
        <v>3649768858.3965425</v>
      </c>
    </row>
    <row r="44" spans="1:7" ht="16.149999999999999" customHeight="1" x14ac:dyDescent="0.25">
      <c r="A44" s="109">
        <f t="shared" ca="1" si="1"/>
        <v>46904</v>
      </c>
      <c r="B44" s="110">
        <f t="shared" ca="1" si="2"/>
        <v>3649768858.3965425</v>
      </c>
      <c r="C44" s="115">
        <v>0</v>
      </c>
      <c r="D44" s="111">
        <f t="shared" ca="1" si="3"/>
        <v>160111263.41298968</v>
      </c>
      <c r="E44" s="111">
        <f t="shared" ca="1" si="4"/>
        <v>36497688.583965428</v>
      </c>
      <c r="F44" s="111">
        <f t="shared" ca="1" si="0"/>
        <v>123613574.82902426</v>
      </c>
      <c r="G44" s="112">
        <f ca="1">IF(ROUND(SUM(B44:C44,-F44),0)=0,0,IF($B$6="Yes",SUM($C$9:C44),SUM(B44:C44,-F44)))</f>
        <v>3526155283.5675182</v>
      </c>
    </row>
    <row r="45" spans="1:7" ht="16.149999999999999" customHeight="1" x14ac:dyDescent="0.25">
      <c r="A45" s="109">
        <f t="shared" ca="1" si="1"/>
        <v>46934</v>
      </c>
      <c r="B45" s="110">
        <f t="shared" ca="1" si="2"/>
        <v>3526155283.5675182</v>
      </c>
      <c r="C45" s="115">
        <v>0</v>
      </c>
      <c r="D45" s="111">
        <f t="shared" ca="1" si="3"/>
        <v>160111263.41298968</v>
      </c>
      <c r="E45" s="111">
        <f t="shared" ca="1" si="4"/>
        <v>35261552.83567518</v>
      </c>
      <c r="F45" s="111">
        <f t="shared" ca="1" si="0"/>
        <v>124849710.5773145</v>
      </c>
      <c r="G45" s="112">
        <f ca="1">IF(ROUND(SUM(B45:C45,-F45),0)=0,0,IF($B$6="Yes",SUM($C$9:C45),SUM(B45:C45,-F45)))</f>
        <v>3401305572.9902039</v>
      </c>
    </row>
    <row r="46" spans="1:7" ht="16.149999999999999" customHeight="1" x14ac:dyDescent="0.25">
      <c r="A46" s="109">
        <f t="shared" ca="1" si="1"/>
        <v>46965</v>
      </c>
      <c r="B46" s="110">
        <f t="shared" ca="1" si="2"/>
        <v>3401305572.9902039</v>
      </c>
      <c r="C46" s="115">
        <v>0</v>
      </c>
      <c r="D46" s="111">
        <f t="shared" ca="1" si="3"/>
        <v>160111263.41298968</v>
      </c>
      <c r="E46" s="111">
        <f t="shared" ca="1" si="4"/>
        <v>34013055.729902036</v>
      </c>
      <c r="F46" s="111">
        <f t="shared" ca="1" si="0"/>
        <v>126098207.68308765</v>
      </c>
      <c r="G46" s="112">
        <f ca="1">IF(ROUND(SUM(B46:C46,-F46),0)=0,0,IF($B$6="Yes",SUM($C$9:C46),SUM(B46:C46,-F46)))</f>
        <v>3275207365.307116</v>
      </c>
    </row>
    <row r="47" spans="1:7" ht="16.149999999999999" customHeight="1" x14ac:dyDescent="0.25">
      <c r="A47" s="109">
        <f t="shared" ca="1" si="1"/>
        <v>46996</v>
      </c>
      <c r="B47" s="110">
        <f t="shared" ca="1" si="2"/>
        <v>3275207365.307116</v>
      </c>
      <c r="C47" s="115">
        <v>0</v>
      </c>
      <c r="D47" s="111">
        <f t="shared" ca="1" si="3"/>
        <v>160111263.41298968</v>
      </c>
      <c r="E47" s="111">
        <f t="shared" ca="1" si="4"/>
        <v>32752073.653071161</v>
      </c>
      <c r="F47" s="111">
        <f t="shared" ca="1" si="0"/>
        <v>127359189.75991851</v>
      </c>
      <c r="G47" s="112">
        <f ca="1">IF(ROUND(SUM(B47:C47,-F47),0)=0,0,IF($B$6="Yes",SUM($C$9:C47),SUM(B47:C47,-F47)))</f>
        <v>3147848175.5471973</v>
      </c>
    </row>
    <row r="48" spans="1:7" ht="16.149999999999999" customHeight="1" x14ac:dyDescent="0.25">
      <c r="A48" s="109">
        <f t="shared" ca="1" si="1"/>
        <v>47026</v>
      </c>
      <c r="B48" s="110">
        <f t="shared" ca="1" si="2"/>
        <v>3147848175.5471973</v>
      </c>
      <c r="C48" s="115">
        <v>0</v>
      </c>
      <c r="D48" s="111">
        <f t="shared" ca="1" si="3"/>
        <v>160111263.41298968</v>
      </c>
      <c r="E48" s="111">
        <f t="shared" ca="1" si="4"/>
        <v>31478481.755471975</v>
      </c>
      <c r="F48" s="111">
        <f t="shared" ca="1" si="0"/>
        <v>128632781.6575177</v>
      </c>
      <c r="G48" s="112">
        <f ca="1">IF(ROUND(SUM(B48:C48,-F48),0)=0,0,IF($B$6="Yes",SUM($C$9:C48),SUM(B48:C48,-F48)))</f>
        <v>3019215393.8896794</v>
      </c>
    </row>
    <row r="49" spans="1:7" ht="16.149999999999999" customHeight="1" x14ac:dyDescent="0.25">
      <c r="A49" s="109">
        <f t="shared" ca="1" si="1"/>
        <v>47057</v>
      </c>
      <c r="B49" s="110">
        <f t="shared" ca="1" si="2"/>
        <v>3019215393.8896794</v>
      </c>
      <c r="C49" s="115">
        <v>0</v>
      </c>
      <c r="D49" s="111">
        <f t="shared" ca="1" si="3"/>
        <v>160111263.41298968</v>
      </c>
      <c r="E49" s="111">
        <f t="shared" ca="1" si="4"/>
        <v>30192153.938896794</v>
      </c>
      <c r="F49" s="111">
        <f t="shared" ca="1" si="0"/>
        <v>129919109.47409289</v>
      </c>
      <c r="G49" s="112">
        <f ca="1">IF(ROUND(SUM(B49:C49,-F49),0)=0,0,IF($B$6="Yes",SUM($C$9:C49),SUM(B49:C49,-F49)))</f>
        <v>2889296284.4155865</v>
      </c>
    </row>
    <row r="50" spans="1:7" ht="16.149999999999999" customHeight="1" x14ac:dyDescent="0.25">
      <c r="A50" s="109">
        <f t="shared" ca="1" si="1"/>
        <v>47087</v>
      </c>
      <c r="B50" s="110">
        <f t="shared" ca="1" si="2"/>
        <v>2889296284.4155865</v>
      </c>
      <c r="C50" s="115">
        <v>0</v>
      </c>
      <c r="D50" s="111">
        <f t="shared" ca="1" si="3"/>
        <v>160111263.41298968</v>
      </c>
      <c r="E50" s="111">
        <f t="shared" ca="1" si="4"/>
        <v>28892962.844155863</v>
      </c>
      <c r="F50" s="111">
        <f t="shared" ca="1" si="0"/>
        <v>131218300.56883381</v>
      </c>
      <c r="G50" s="112">
        <f ca="1">IF(ROUND(SUM(B50:C50,-F50),0)=0,0,IF($B$6="Yes",SUM($C$9:C50),SUM(B50:C50,-F50)))</f>
        <v>2758077983.8467526</v>
      </c>
    </row>
    <row r="51" spans="1:7" ht="16.149999999999999" customHeight="1" x14ac:dyDescent="0.25">
      <c r="A51" s="109">
        <f t="shared" ca="1" si="1"/>
        <v>47118</v>
      </c>
      <c r="B51" s="110">
        <f t="shared" ca="1" si="2"/>
        <v>2758077983.8467526</v>
      </c>
      <c r="C51" s="115">
        <v>0</v>
      </c>
      <c r="D51" s="111">
        <f t="shared" ca="1" si="3"/>
        <v>160111263.41298968</v>
      </c>
      <c r="E51" s="111">
        <f t="shared" ca="1" si="4"/>
        <v>27580779.838467523</v>
      </c>
      <c r="F51" s="111">
        <f t="shared" ca="1" si="0"/>
        <v>132530483.57452215</v>
      </c>
      <c r="G51" s="112">
        <f ca="1">IF(ROUND(SUM(B51:C51,-F51),0)=0,0,IF($B$6="Yes",SUM($C$9:C51),SUM(B51:C51,-F51)))</f>
        <v>2625547500.2722306</v>
      </c>
    </row>
    <row r="52" spans="1:7" ht="16.149999999999999" customHeight="1" x14ac:dyDescent="0.25">
      <c r="A52" s="109">
        <f t="shared" ca="1" si="1"/>
        <v>47149</v>
      </c>
      <c r="B52" s="110">
        <f t="shared" ca="1" si="2"/>
        <v>2625547500.2722306</v>
      </c>
      <c r="C52" s="115">
        <v>0</v>
      </c>
      <c r="D52" s="111">
        <f t="shared" ca="1" si="3"/>
        <v>160111263.41298968</v>
      </c>
      <c r="E52" s="111">
        <f t="shared" ca="1" si="4"/>
        <v>26255475.002722304</v>
      </c>
      <c r="F52" s="111">
        <f t="shared" ca="1" si="0"/>
        <v>133855788.41026737</v>
      </c>
      <c r="G52" s="112">
        <f ca="1">IF(ROUND(SUM(B52:C52,-F52),0)=0,0,IF($B$6="Yes",SUM($C$9:C52),SUM(B52:C52,-F52)))</f>
        <v>2491691711.8619633</v>
      </c>
    </row>
    <row r="53" spans="1:7" ht="16.149999999999999" customHeight="1" x14ac:dyDescent="0.25">
      <c r="A53" s="109">
        <f t="shared" ca="1" si="1"/>
        <v>47177</v>
      </c>
      <c r="B53" s="110">
        <f t="shared" ca="1" si="2"/>
        <v>2491691711.8619633</v>
      </c>
      <c r="C53" s="115">
        <v>0</v>
      </c>
      <c r="D53" s="111">
        <f t="shared" ca="1" si="3"/>
        <v>160111263.41298968</v>
      </c>
      <c r="E53" s="111">
        <f t="shared" ca="1" si="4"/>
        <v>24916917.118619632</v>
      </c>
      <c r="F53" s="111">
        <f t="shared" ca="1" si="0"/>
        <v>135194346.29437006</v>
      </c>
      <c r="G53" s="112">
        <f ca="1">IF(ROUND(SUM(B53:C53,-F53),0)=0,0,IF($B$6="Yes",SUM($C$9:C53),SUM(B53:C53,-F53)))</f>
        <v>2356497365.5675931</v>
      </c>
    </row>
    <row r="54" spans="1:7" ht="16.149999999999999" customHeight="1" x14ac:dyDescent="0.25">
      <c r="A54" s="109">
        <f t="shared" ca="1" si="1"/>
        <v>47208</v>
      </c>
      <c r="B54" s="110">
        <f t="shared" ca="1" si="2"/>
        <v>2356497365.5675931</v>
      </c>
      <c r="C54" s="115">
        <v>0</v>
      </c>
      <c r="D54" s="111">
        <f t="shared" ca="1" si="3"/>
        <v>160111263.41298968</v>
      </c>
      <c r="E54" s="111">
        <f t="shared" ca="1" si="4"/>
        <v>23564973.655675929</v>
      </c>
      <c r="F54" s="111">
        <f t="shared" ca="1" si="0"/>
        <v>136546289.75731376</v>
      </c>
      <c r="G54" s="112">
        <f ca="1">IF(ROUND(SUM(B54:C54,-F54),0)=0,0,IF($B$6="Yes",SUM($C$9:C54),SUM(B54:C54,-F54)))</f>
        <v>2219951075.8102794</v>
      </c>
    </row>
    <row r="55" spans="1:7" ht="16.149999999999999" customHeight="1" x14ac:dyDescent="0.25">
      <c r="A55" s="109">
        <f t="shared" ca="1" si="1"/>
        <v>47238</v>
      </c>
      <c r="B55" s="110">
        <f t="shared" ca="1" si="2"/>
        <v>2219951075.8102794</v>
      </c>
      <c r="C55" s="115">
        <v>0</v>
      </c>
      <c r="D55" s="111">
        <f t="shared" ca="1" si="3"/>
        <v>160111263.41298968</v>
      </c>
      <c r="E55" s="111">
        <f t="shared" ca="1" si="4"/>
        <v>22199510.758102793</v>
      </c>
      <c r="F55" s="111">
        <f t="shared" ca="1" si="0"/>
        <v>137911752.65488687</v>
      </c>
      <c r="G55" s="112">
        <f ca="1">IF(ROUND(SUM(B55:C55,-F55),0)=0,0,IF($B$6="Yes",SUM($C$9:C55),SUM(B55:C55,-F55)))</f>
        <v>2082039323.1553924</v>
      </c>
    </row>
    <row r="56" spans="1:7" ht="16.149999999999999" customHeight="1" x14ac:dyDescent="0.25">
      <c r="A56" s="109">
        <f t="shared" ca="1" si="1"/>
        <v>47269</v>
      </c>
      <c r="B56" s="110">
        <f t="shared" ca="1" si="2"/>
        <v>2082039323.1553924</v>
      </c>
      <c r="C56" s="115">
        <v>0</v>
      </c>
      <c r="D56" s="111">
        <f t="shared" ca="1" si="3"/>
        <v>160111263.41298968</v>
      </c>
      <c r="E56" s="111">
        <f t="shared" ca="1" si="4"/>
        <v>20820393.231553923</v>
      </c>
      <c r="F56" s="111">
        <f t="shared" ca="1" si="0"/>
        <v>139290870.18143576</v>
      </c>
      <c r="G56" s="112">
        <f ca="1">IF(ROUND(SUM(B56:C56,-F56),0)=0,0,IF($B$6="Yes",SUM($C$9:C56),SUM(B56:C56,-F56)))</f>
        <v>1942748452.9739566</v>
      </c>
    </row>
    <row r="57" spans="1:7" ht="16.149999999999999" customHeight="1" x14ac:dyDescent="0.25">
      <c r="A57" s="109">
        <f t="shared" ca="1" si="1"/>
        <v>47299</v>
      </c>
      <c r="B57" s="110">
        <f t="shared" ca="1" si="2"/>
        <v>1942748452.9739566</v>
      </c>
      <c r="C57" s="115">
        <v>0</v>
      </c>
      <c r="D57" s="111">
        <f t="shared" ca="1" si="3"/>
        <v>160111263.41298968</v>
      </c>
      <c r="E57" s="111">
        <f t="shared" ca="1" si="4"/>
        <v>19427484.529739566</v>
      </c>
      <c r="F57" s="111">
        <f t="shared" ca="1" si="0"/>
        <v>140683778.88325012</v>
      </c>
      <c r="G57" s="112">
        <f ca="1">IF(ROUND(SUM(B57:C57,-F57),0)=0,0,IF($B$6="Yes",SUM($C$9:C57),SUM(B57:C57,-F57)))</f>
        <v>1802064674.0907063</v>
      </c>
    </row>
    <row r="58" spans="1:7" ht="16.149999999999999" customHeight="1" x14ac:dyDescent="0.25">
      <c r="A58" s="109">
        <f t="shared" ca="1" si="1"/>
        <v>47330</v>
      </c>
      <c r="B58" s="110">
        <f t="shared" ca="1" si="2"/>
        <v>1802064674.0907063</v>
      </c>
      <c r="C58" s="115">
        <v>0</v>
      </c>
      <c r="D58" s="111">
        <f t="shared" ca="1" si="3"/>
        <v>160111263.41298968</v>
      </c>
      <c r="E58" s="111">
        <f t="shared" ca="1" si="4"/>
        <v>18020646.740907062</v>
      </c>
      <c r="F58" s="111">
        <f t="shared" ca="1" si="0"/>
        <v>142090616.6720826</v>
      </c>
      <c r="G58" s="112">
        <f ca="1">IF(ROUND(SUM(B58:C58,-F58),0)=0,0,IF($B$6="Yes",SUM($C$9:C58),SUM(B58:C58,-F58)))</f>
        <v>1659974057.4186237</v>
      </c>
    </row>
    <row r="59" spans="1:7" ht="16.149999999999999" customHeight="1" x14ac:dyDescent="0.25">
      <c r="A59" s="109">
        <f t="shared" ca="1" si="1"/>
        <v>47361</v>
      </c>
      <c r="B59" s="110">
        <f t="shared" ca="1" si="2"/>
        <v>1659974057.4186237</v>
      </c>
      <c r="C59" s="115">
        <v>0</v>
      </c>
      <c r="D59" s="111">
        <f t="shared" ca="1" si="3"/>
        <v>160111263.41298968</v>
      </c>
      <c r="E59" s="111">
        <f t="shared" ca="1" si="4"/>
        <v>16599740.574186236</v>
      </c>
      <c r="F59" s="111">
        <f t="shared" ca="1" si="0"/>
        <v>143511522.83880344</v>
      </c>
      <c r="G59" s="112">
        <f ca="1">IF(ROUND(SUM(B59:C59,-F59),0)=0,0,IF($B$6="Yes",SUM($C$9:C59),SUM(B59:C59,-F59)))</f>
        <v>1516462534.5798202</v>
      </c>
    </row>
    <row r="60" spans="1:7" ht="16.149999999999999" customHeight="1" x14ac:dyDescent="0.25">
      <c r="A60" s="109">
        <f t="shared" ca="1" si="1"/>
        <v>47391</v>
      </c>
      <c r="B60" s="110">
        <f t="shared" ca="1" si="2"/>
        <v>1516462534.5798202</v>
      </c>
      <c r="C60" s="115">
        <v>0</v>
      </c>
      <c r="D60" s="111">
        <f t="shared" ca="1" si="3"/>
        <v>160111263.41298968</v>
      </c>
      <c r="E60" s="111">
        <f t="shared" ca="1" si="4"/>
        <v>15164625.345798202</v>
      </c>
      <c r="F60" s="111">
        <f t="shared" ca="1" si="0"/>
        <v>144946638.06719148</v>
      </c>
      <c r="G60" s="112">
        <f ca="1">IF(ROUND(SUM(B60:C60,-F60),0)=0,0,IF($B$6="Yes",SUM($C$9:C60),SUM(B60:C60,-F60)))</f>
        <v>1371515896.5126286</v>
      </c>
    </row>
    <row r="61" spans="1:7" ht="16.149999999999999" customHeight="1" x14ac:dyDescent="0.25">
      <c r="A61" s="109">
        <f t="shared" ca="1" si="1"/>
        <v>47422</v>
      </c>
      <c r="B61" s="110">
        <f t="shared" ca="1" si="2"/>
        <v>1371515896.5126286</v>
      </c>
      <c r="C61" s="115">
        <v>0</v>
      </c>
      <c r="D61" s="111">
        <f t="shared" ca="1" si="3"/>
        <v>160111263.41298968</v>
      </c>
      <c r="E61" s="111">
        <f t="shared" ca="1" si="4"/>
        <v>13715158.965126285</v>
      </c>
      <c r="F61" s="111">
        <f t="shared" ca="1" si="0"/>
        <v>146396104.4478634</v>
      </c>
      <c r="G61" s="112">
        <f ca="1">IF(ROUND(SUM(B61:C61,-F61),0)=0,0,IF($B$6="Yes",SUM($C$9:C61),SUM(B61:C61,-F61)))</f>
        <v>1225119792.0647652</v>
      </c>
    </row>
    <row r="62" spans="1:7" ht="16.149999999999999" customHeight="1" x14ac:dyDescent="0.25">
      <c r="A62" s="109">
        <f t="shared" ca="1" si="1"/>
        <v>47452</v>
      </c>
      <c r="B62" s="110">
        <f t="shared" ca="1" si="2"/>
        <v>1225119792.0647652</v>
      </c>
      <c r="C62" s="115">
        <v>0</v>
      </c>
      <c r="D62" s="111">
        <f t="shared" ca="1" si="3"/>
        <v>160111263.41298968</v>
      </c>
      <c r="E62" s="111">
        <f t="shared" ca="1" si="4"/>
        <v>12251197.920647651</v>
      </c>
      <c r="F62" s="111">
        <f t="shared" ca="1" si="0"/>
        <v>147860065.49234203</v>
      </c>
      <c r="G62" s="112">
        <f ca="1">IF(ROUND(SUM(B62:C62,-F62),0)=0,0,IF($B$6="Yes",SUM($C$9:C62),SUM(B62:C62,-F62)))</f>
        <v>1077259726.5724232</v>
      </c>
    </row>
    <row r="63" spans="1:7" ht="16.149999999999999" customHeight="1" x14ac:dyDescent="0.25">
      <c r="A63" s="109">
        <f t="shared" ca="1" si="1"/>
        <v>47483</v>
      </c>
      <c r="B63" s="110">
        <f t="shared" ca="1" si="2"/>
        <v>1077259726.5724232</v>
      </c>
      <c r="C63" s="115">
        <v>0</v>
      </c>
      <c r="D63" s="111">
        <f t="shared" ca="1" si="3"/>
        <v>160111263.41298968</v>
      </c>
      <c r="E63" s="111">
        <f t="shared" ca="1" si="4"/>
        <v>10772597.265724232</v>
      </c>
      <c r="F63" s="111">
        <f t="shared" ca="1" si="0"/>
        <v>149338666.14726543</v>
      </c>
      <c r="G63" s="112">
        <f ca="1">IF(ROUND(SUM(B63:C63,-F63),0)=0,0,IF($B$6="Yes",SUM($C$9:C63),SUM(B63:C63,-F63)))</f>
        <v>927921060.42515779</v>
      </c>
    </row>
    <row r="64" spans="1:7" ht="16.149999999999999" customHeight="1" x14ac:dyDescent="0.25">
      <c r="A64" s="109">
        <f t="shared" ca="1" si="1"/>
        <v>47514</v>
      </c>
      <c r="B64" s="110">
        <f t="shared" ca="1" si="2"/>
        <v>927921060.42515779</v>
      </c>
      <c r="C64" s="115">
        <v>0</v>
      </c>
      <c r="D64" s="111">
        <f t="shared" ca="1" si="3"/>
        <v>160111263.41298968</v>
      </c>
      <c r="E64" s="111">
        <f t="shared" ca="1" si="4"/>
        <v>9279210.6042515766</v>
      </c>
      <c r="F64" s="111">
        <f t="shared" ca="1" si="0"/>
        <v>150832052.80873811</v>
      </c>
      <c r="G64" s="112">
        <f ca="1">IF(ROUND(SUM(B64:C64,-F64),0)=0,0,IF($B$6="Yes",SUM($C$9:C64),SUM(B64:C64,-F64)))</f>
        <v>777089007.61641967</v>
      </c>
    </row>
    <row r="65" spans="1:7" ht="16.149999999999999" customHeight="1" x14ac:dyDescent="0.25">
      <c r="A65" s="109">
        <f t="shared" ca="1" si="1"/>
        <v>47542</v>
      </c>
      <c r="B65" s="110">
        <f t="shared" ca="1" si="2"/>
        <v>777089007.61641967</v>
      </c>
      <c r="C65" s="115">
        <v>0</v>
      </c>
      <c r="D65" s="111">
        <f t="shared" ca="1" si="3"/>
        <v>160111263.41298968</v>
      </c>
      <c r="E65" s="111">
        <f t="shared" ca="1" si="4"/>
        <v>7770890.0761641962</v>
      </c>
      <c r="F65" s="111">
        <f t="shared" ca="1" si="0"/>
        <v>152340373.33682549</v>
      </c>
      <c r="G65" s="112">
        <f ca="1">IF(ROUND(SUM(B65:C65,-F65),0)=0,0,IF($B$6="Yes",SUM($C$9:C65),SUM(B65:C65,-F65)))</f>
        <v>624748634.27959418</v>
      </c>
    </row>
    <row r="66" spans="1:7" ht="16.149999999999999" customHeight="1" x14ac:dyDescent="0.25">
      <c r="A66" s="109">
        <f t="shared" ca="1" si="1"/>
        <v>47573</v>
      </c>
      <c r="B66" s="110">
        <f t="shared" ca="1" si="2"/>
        <v>624748634.27959418</v>
      </c>
      <c r="C66" s="115">
        <v>0</v>
      </c>
      <c r="D66" s="111">
        <f t="shared" ca="1" si="3"/>
        <v>160111263.41298968</v>
      </c>
      <c r="E66" s="111">
        <f t="shared" ca="1" si="4"/>
        <v>6247486.342795942</v>
      </c>
      <c r="F66" s="111">
        <f t="shared" ca="1" si="0"/>
        <v>153863777.07019374</v>
      </c>
      <c r="G66" s="112">
        <f ca="1">IF(ROUND(SUM(B66:C66,-F66),0)=0,0,IF($B$6="Yes",SUM($C$9:C66),SUM(B66:C66,-F66)))</f>
        <v>470884857.20940042</v>
      </c>
    </row>
    <row r="67" spans="1:7" ht="16.149999999999999" customHeight="1" x14ac:dyDescent="0.25">
      <c r="A67" s="109">
        <f t="shared" ca="1" si="1"/>
        <v>47603</v>
      </c>
      <c r="B67" s="110">
        <f t="shared" ca="1" si="2"/>
        <v>470884857.20940042</v>
      </c>
      <c r="C67" s="115">
        <v>0</v>
      </c>
      <c r="D67" s="111">
        <f t="shared" ca="1" si="3"/>
        <v>160111263.41298968</v>
      </c>
      <c r="E67" s="111">
        <f t="shared" ca="1" si="4"/>
        <v>4708848.5720940037</v>
      </c>
      <c r="F67" s="111">
        <f t="shared" ca="1" si="0"/>
        <v>155402414.84089568</v>
      </c>
      <c r="G67" s="112">
        <f ca="1">IF(ROUND(SUM(B67:C67,-F67),0)=0,0,IF($B$6="Yes",SUM($C$9:C67),SUM(B67:C67,-F67)))</f>
        <v>315482442.36850476</v>
      </c>
    </row>
    <row r="68" spans="1:7" ht="16.149999999999999" customHeight="1" x14ac:dyDescent="0.25">
      <c r="A68" s="109">
        <f t="shared" ca="1" si="1"/>
        <v>47634</v>
      </c>
      <c r="B68" s="110">
        <f t="shared" ca="1" si="2"/>
        <v>315482442.36850476</v>
      </c>
      <c r="C68" s="115">
        <v>0</v>
      </c>
      <c r="D68" s="111">
        <f t="shared" ca="1" si="3"/>
        <v>160111263.41298968</v>
      </c>
      <c r="E68" s="111">
        <f t="shared" ca="1" si="4"/>
        <v>3154824.4236850478</v>
      </c>
      <c r="F68" s="111">
        <f t="shared" ca="1" si="0"/>
        <v>156956438.98930463</v>
      </c>
      <c r="G68" s="112">
        <f ca="1">IF(ROUND(SUM(B68:C68,-F68),0)=0,0,IF($B$6="Yes",SUM($C$9:C68),SUM(B68:C68,-F68)))</f>
        <v>158526003.37920013</v>
      </c>
    </row>
    <row r="69" spans="1:7" ht="16.149999999999999" customHeight="1" x14ac:dyDescent="0.25">
      <c r="A69" s="109">
        <f t="shared" ca="1" si="1"/>
        <v>47664</v>
      </c>
      <c r="B69" s="110">
        <f t="shared" ca="1" si="2"/>
        <v>158526003.37920013</v>
      </c>
      <c r="C69" s="115">
        <v>0</v>
      </c>
      <c r="D69" s="111">
        <f t="shared" ca="1" si="3"/>
        <v>160111263.41298968</v>
      </c>
      <c r="E69" s="111">
        <f t="shared" ca="1" si="4"/>
        <v>1585260.0337920012</v>
      </c>
      <c r="F69" s="111">
        <f t="shared" ca="1" si="0"/>
        <v>158526003.37919769</v>
      </c>
      <c r="G69" s="112">
        <f ca="1">IF(ROUND(SUM(B69:C69,-F69),0)=0,0,IF($B$6="Yes",SUM($C$9:C69),SUM(B69:C69,-F69)))</f>
        <v>0</v>
      </c>
    </row>
    <row r="70" spans="1:7" ht="16.149999999999999" customHeight="1" x14ac:dyDescent="0.25">
      <c r="A70" s="109">
        <f t="shared" ca="1" si="1"/>
        <v>47695</v>
      </c>
      <c r="B70" s="110">
        <f t="shared" ca="1" si="2"/>
        <v>0</v>
      </c>
      <c r="C70" s="115">
        <v>0</v>
      </c>
      <c r="D70" s="111">
        <f t="shared" ca="1" si="3"/>
        <v>0</v>
      </c>
      <c r="E70" s="111">
        <f t="shared" ca="1" si="4"/>
        <v>0</v>
      </c>
      <c r="F70" s="111">
        <f t="shared" ca="1" si="0"/>
        <v>0</v>
      </c>
      <c r="G70" s="112">
        <f ca="1">IF(ROUND(SUM(B70:C70,-F70),0)=0,0,IF($B$6="Yes",SUM($C$9:C70),SUM(B70:C70,-F70)))</f>
        <v>0</v>
      </c>
    </row>
    <row r="71" spans="1:7" ht="16.149999999999999" customHeight="1" x14ac:dyDescent="0.25">
      <c r="A71" s="109">
        <f t="shared" ca="1" si="1"/>
        <v>47726</v>
      </c>
      <c r="B71" s="110">
        <f t="shared" ca="1" si="2"/>
        <v>0</v>
      </c>
      <c r="C71" s="115">
        <v>0</v>
      </c>
      <c r="D71" s="111">
        <f t="shared" ca="1" si="3"/>
        <v>0</v>
      </c>
      <c r="E71" s="111">
        <f t="shared" ca="1" si="4"/>
        <v>0</v>
      </c>
      <c r="F71" s="111">
        <f t="shared" ca="1" si="0"/>
        <v>0</v>
      </c>
      <c r="G71" s="112">
        <f ca="1">IF(ROUND(SUM(B71:C71,-F71),0)=0,0,IF($B$6="Yes",SUM($C$9:C71),SUM(B71:C71,-F71)))</f>
        <v>0</v>
      </c>
    </row>
    <row r="72" spans="1:7" ht="16.149999999999999" customHeight="1" x14ac:dyDescent="0.25">
      <c r="A72" s="109">
        <f t="shared" ca="1" si="1"/>
        <v>47756</v>
      </c>
      <c r="B72" s="110">
        <f t="shared" ca="1" si="2"/>
        <v>0</v>
      </c>
      <c r="C72" s="115">
        <v>0</v>
      </c>
      <c r="D72" s="111">
        <f t="shared" ca="1" si="3"/>
        <v>0</v>
      </c>
      <c r="E72" s="111">
        <f t="shared" ca="1" si="4"/>
        <v>0</v>
      </c>
      <c r="F72" s="111">
        <f t="shared" ca="1" si="0"/>
        <v>0</v>
      </c>
      <c r="G72" s="112">
        <f ca="1">IF(ROUND(SUM(B72:C72,-F72),0)=0,0,IF($B$6="Yes",SUM($C$9:C72),SUM(B72:C72,-F72)))</f>
        <v>0</v>
      </c>
    </row>
    <row r="73" spans="1:7" ht="16.149999999999999" customHeight="1" x14ac:dyDescent="0.25">
      <c r="A73" s="109">
        <f t="shared" ca="1" si="1"/>
        <v>47787</v>
      </c>
      <c r="B73" s="110">
        <f t="shared" ca="1" si="2"/>
        <v>0</v>
      </c>
      <c r="C73" s="115">
        <v>0</v>
      </c>
      <c r="D73" s="111">
        <f t="shared" ca="1" si="3"/>
        <v>0</v>
      </c>
      <c r="E73" s="111">
        <f t="shared" ca="1" si="4"/>
        <v>0</v>
      </c>
      <c r="F73" s="111">
        <f t="shared" ca="1" si="0"/>
        <v>0</v>
      </c>
      <c r="G73" s="112">
        <f ca="1">IF(ROUND(SUM(B73:C73,-F73),0)=0,0,IF($B$6="Yes",SUM($C$9:C73),SUM(B73:C73,-F73)))</f>
        <v>0</v>
      </c>
    </row>
    <row r="74" spans="1:7" ht="16.149999999999999" customHeight="1" x14ac:dyDescent="0.25">
      <c r="A74" s="109">
        <f t="shared" ca="1" si="1"/>
        <v>47817</v>
      </c>
      <c r="B74" s="110">
        <f t="shared" ca="1" si="2"/>
        <v>0</v>
      </c>
      <c r="C74" s="115">
        <v>0</v>
      </c>
      <c r="D74" s="111">
        <f t="shared" ca="1" si="3"/>
        <v>0</v>
      </c>
      <c r="E74" s="111">
        <f t="shared" ca="1" si="4"/>
        <v>0</v>
      </c>
      <c r="F74" s="111">
        <f t="shared" ref="F74:F128" ca="1" si="5">IF($B$6="Yes",0,D74-E74)</f>
        <v>0</v>
      </c>
      <c r="G74" s="112">
        <f ca="1">IF(ROUND(SUM(B74:C74,-F74),0)=0,0,IF($B$6="Yes",SUM($C$9:C74),SUM(B74:C74,-F74)))</f>
        <v>0</v>
      </c>
    </row>
    <row r="75" spans="1:7" ht="16.149999999999999" customHeight="1" x14ac:dyDescent="0.25">
      <c r="A75" s="109">
        <f t="shared" ref="A75:A125" ca="1" si="6">DATE(YEAR(A74),MONTH(A74)+2,0)</f>
        <v>47848</v>
      </c>
      <c r="B75" s="110">
        <f t="shared" ref="B75:B128" ca="1" si="7">G74</f>
        <v>0</v>
      </c>
      <c r="C75" s="115">
        <v>0</v>
      </c>
      <c r="D75" s="111">
        <f t="shared" ref="D75:D138" ca="1" si="8">IF($B$6="Yes",0,IF(ROW(C75)-ROW($C$9)&gt;$B$5*12,-PMT($B$4/12,$B$5*12,SUM(OFFSET(C75,0,0,-$B$5*12,1)),0,0),-PMT($B$4/12,$B$5*12,SUM(OFFSET(C75,0,0,ROW($C$8)-ROW(C75),1)),0,0)))</f>
        <v>0</v>
      </c>
      <c r="E75" s="111">
        <f t="shared" ref="E75:E138" ca="1" si="9">(G74+C75)*$B$4/12</f>
        <v>0</v>
      </c>
      <c r="F75" s="111">
        <f t="shared" ca="1" si="5"/>
        <v>0</v>
      </c>
      <c r="G75" s="112">
        <f ca="1">IF(ROUND(SUM(B75:C75,-F75),0)=0,0,IF($B$6="Yes",SUM($C$9:C75),SUM(B75:C75,-F75)))</f>
        <v>0</v>
      </c>
    </row>
    <row r="76" spans="1:7" ht="16.149999999999999" customHeight="1" x14ac:dyDescent="0.25">
      <c r="A76" s="109">
        <f t="shared" ca="1" si="6"/>
        <v>47879</v>
      </c>
      <c r="B76" s="110">
        <f t="shared" ca="1" si="7"/>
        <v>0</v>
      </c>
      <c r="C76" s="115">
        <v>0</v>
      </c>
      <c r="D76" s="111">
        <f t="shared" ca="1" si="8"/>
        <v>0</v>
      </c>
      <c r="E76" s="111">
        <f t="shared" ca="1" si="9"/>
        <v>0</v>
      </c>
      <c r="F76" s="111">
        <f t="shared" ca="1" si="5"/>
        <v>0</v>
      </c>
      <c r="G76" s="112">
        <f ca="1">IF(ROUND(SUM(B76:C76,-F76),0)=0,0,IF($B$6="Yes",SUM($C$9:C76),SUM(B76:C76,-F76)))</f>
        <v>0</v>
      </c>
    </row>
    <row r="77" spans="1:7" ht="16.149999999999999" customHeight="1" x14ac:dyDescent="0.25">
      <c r="A77" s="109">
        <f t="shared" ca="1" si="6"/>
        <v>47907</v>
      </c>
      <c r="B77" s="110">
        <f t="shared" ca="1" si="7"/>
        <v>0</v>
      </c>
      <c r="C77" s="115">
        <v>0</v>
      </c>
      <c r="D77" s="111">
        <f t="shared" ca="1" si="8"/>
        <v>0</v>
      </c>
      <c r="E77" s="111">
        <f t="shared" ca="1" si="9"/>
        <v>0</v>
      </c>
      <c r="F77" s="111">
        <f t="shared" ca="1" si="5"/>
        <v>0</v>
      </c>
      <c r="G77" s="112">
        <f ca="1">IF(ROUND(SUM(B77:C77,-F77),0)=0,0,IF($B$6="Yes",SUM($C$9:C77),SUM(B77:C77,-F77)))</f>
        <v>0</v>
      </c>
    </row>
    <row r="78" spans="1:7" ht="16.149999999999999" customHeight="1" x14ac:dyDescent="0.25">
      <c r="A78" s="109">
        <f t="shared" ca="1" si="6"/>
        <v>47938</v>
      </c>
      <c r="B78" s="110">
        <f t="shared" ca="1" si="7"/>
        <v>0</v>
      </c>
      <c r="C78" s="115">
        <v>0</v>
      </c>
      <c r="D78" s="111">
        <f t="shared" ca="1" si="8"/>
        <v>0</v>
      </c>
      <c r="E78" s="111">
        <f t="shared" ca="1" si="9"/>
        <v>0</v>
      </c>
      <c r="F78" s="111">
        <f t="shared" ca="1" si="5"/>
        <v>0</v>
      </c>
      <c r="G78" s="112">
        <f ca="1">IF(ROUND(SUM(B78:C78,-F78),0)=0,0,IF($B$6="Yes",SUM($C$9:C78),SUM(B78:C78,-F78)))</f>
        <v>0</v>
      </c>
    </row>
    <row r="79" spans="1:7" ht="16.149999999999999" customHeight="1" x14ac:dyDescent="0.25">
      <c r="A79" s="109">
        <f t="shared" ca="1" si="6"/>
        <v>47968</v>
      </c>
      <c r="B79" s="110">
        <f t="shared" ca="1" si="7"/>
        <v>0</v>
      </c>
      <c r="C79" s="115">
        <v>0</v>
      </c>
      <c r="D79" s="111">
        <f t="shared" ca="1" si="8"/>
        <v>0</v>
      </c>
      <c r="E79" s="111">
        <f t="shared" ca="1" si="9"/>
        <v>0</v>
      </c>
      <c r="F79" s="111">
        <f t="shared" ca="1" si="5"/>
        <v>0</v>
      </c>
      <c r="G79" s="112">
        <f ca="1">IF(ROUND(SUM(B79:C79,-F79),0)=0,0,IF($B$6="Yes",SUM($C$9:C79),SUM(B79:C79,-F79)))</f>
        <v>0</v>
      </c>
    </row>
    <row r="80" spans="1:7" ht="16.149999999999999" customHeight="1" x14ac:dyDescent="0.25">
      <c r="A80" s="109">
        <f t="shared" ca="1" si="6"/>
        <v>47999</v>
      </c>
      <c r="B80" s="110">
        <f t="shared" ca="1" si="7"/>
        <v>0</v>
      </c>
      <c r="C80" s="115">
        <v>0</v>
      </c>
      <c r="D80" s="111">
        <f t="shared" ca="1" si="8"/>
        <v>0</v>
      </c>
      <c r="E80" s="111">
        <f t="shared" ca="1" si="9"/>
        <v>0</v>
      </c>
      <c r="F80" s="111">
        <f t="shared" ca="1" si="5"/>
        <v>0</v>
      </c>
      <c r="G80" s="112">
        <f ca="1">IF(ROUND(SUM(B80:C80,-F80),0)=0,0,IF($B$6="Yes",SUM($C$9:C80),SUM(B80:C80,-F80)))</f>
        <v>0</v>
      </c>
    </row>
    <row r="81" spans="1:7" ht="16.149999999999999" customHeight="1" x14ac:dyDescent="0.25">
      <c r="A81" s="109">
        <f t="shared" ca="1" si="6"/>
        <v>48029</v>
      </c>
      <c r="B81" s="110">
        <f t="shared" ca="1" si="7"/>
        <v>0</v>
      </c>
      <c r="C81" s="115">
        <v>0</v>
      </c>
      <c r="D81" s="111">
        <f t="shared" ca="1" si="8"/>
        <v>0</v>
      </c>
      <c r="E81" s="111">
        <f t="shared" ca="1" si="9"/>
        <v>0</v>
      </c>
      <c r="F81" s="111">
        <f t="shared" ca="1" si="5"/>
        <v>0</v>
      </c>
      <c r="G81" s="112">
        <f ca="1">IF(ROUND(SUM(B81:C81,-F81),0)=0,0,IF($B$6="Yes",SUM($C$9:C81),SUM(B81:C81,-F81)))</f>
        <v>0</v>
      </c>
    </row>
    <row r="82" spans="1:7" ht="16.149999999999999" customHeight="1" x14ac:dyDescent="0.25">
      <c r="A82" s="109">
        <f t="shared" ca="1" si="6"/>
        <v>48060</v>
      </c>
      <c r="B82" s="110">
        <f t="shared" ca="1" si="7"/>
        <v>0</v>
      </c>
      <c r="C82" s="115">
        <v>0</v>
      </c>
      <c r="D82" s="111">
        <f t="shared" ca="1" si="8"/>
        <v>0</v>
      </c>
      <c r="E82" s="111">
        <f t="shared" ca="1" si="9"/>
        <v>0</v>
      </c>
      <c r="F82" s="111">
        <f t="shared" ca="1" si="5"/>
        <v>0</v>
      </c>
      <c r="G82" s="112">
        <f ca="1">IF(ROUND(SUM(B82:C82,-F82),0)=0,0,IF($B$6="Yes",SUM($C$9:C82),SUM(B82:C82,-F82)))</f>
        <v>0</v>
      </c>
    </row>
    <row r="83" spans="1:7" ht="16.149999999999999" customHeight="1" x14ac:dyDescent="0.25">
      <c r="A83" s="109">
        <f t="shared" ca="1" si="6"/>
        <v>48091</v>
      </c>
      <c r="B83" s="110">
        <f t="shared" ca="1" si="7"/>
        <v>0</v>
      </c>
      <c r="C83" s="115">
        <v>0</v>
      </c>
      <c r="D83" s="111">
        <f t="shared" ca="1" si="8"/>
        <v>0</v>
      </c>
      <c r="E83" s="111">
        <f t="shared" ca="1" si="9"/>
        <v>0</v>
      </c>
      <c r="F83" s="111">
        <f t="shared" ca="1" si="5"/>
        <v>0</v>
      </c>
      <c r="G83" s="112">
        <f ca="1">IF(ROUND(SUM(B83:C83,-F83),0)=0,0,IF($B$6="Yes",SUM($C$9:C83),SUM(B83:C83,-F83)))</f>
        <v>0</v>
      </c>
    </row>
    <row r="84" spans="1:7" ht="16.149999999999999" customHeight="1" x14ac:dyDescent="0.25">
      <c r="A84" s="109">
        <f t="shared" ca="1" si="6"/>
        <v>48121</v>
      </c>
      <c r="B84" s="110">
        <f t="shared" ca="1" si="7"/>
        <v>0</v>
      </c>
      <c r="C84" s="115">
        <v>0</v>
      </c>
      <c r="D84" s="111">
        <f t="shared" ca="1" si="8"/>
        <v>0</v>
      </c>
      <c r="E84" s="111">
        <f t="shared" ca="1" si="9"/>
        <v>0</v>
      </c>
      <c r="F84" s="111">
        <f t="shared" ca="1" si="5"/>
        <v>0</v>
      </c>
      <c r="G84" s="112">
        <f ca="1">IF(ROUND(SUM(B84:C84,-F84),0)=0,0,IF($B$6="Yes",SUM($C$9:C84),SUM(B84:C84,-F84)))</f>
        <v>0</v>
      </c>
    </row>
    <row r="85" spans="1:7" ht="16.149999999999999" customHeight="1" x14ac:dyDescent="0.25">
      <c r="A85" s="109">
        <f t="shared" ca="1" si="6"/>
        <v>48152</v>
      </c>
      <c r="B85" s="110">
        <f t="shared" ca="1" si="7"/>
        <v>0</v>
      </c>
      <c r="C85" s="115">
        <v>0</v>
      </c>
      <c r="D85" s="111">
        <f t="shared" ca="1" si="8"/>
        <v>0</v>
      </c>
      <c r="E85" s="111">
        <f t="shared" ca="1" si="9"/>
        <v>0</v>
      </c>
      <c r="F85" s="111">
        <f t="shared" ca="1" si="5"/>
        <v>0</v>
      </c>
      <c r="G85" s="112">
        <f ca="1">IF(ROUND(SUM(B85:C85,-F85),0)=0,0,IF($B$6="Yes",SUM($C$9:C85),SUM(B85:C85,-F85)))</f>
        <v>0</v>
      </c>
    </row>
    <row r="86" spans="1:7" ht="16.149999999999999" customHeight="1" x14ac:dyDescent="0.25">
      <c r="A86" s="109">
        <f t="shared" ca="1" si="6"/>
        <v>48182</v>
      </c>
      <c r="B86" s="110">
        <f t="shared" ca="1" si="7"/>
        <v>0</v>
      </c>
      <c r="C86" s="115">
        <v>0</v>
      </c>
      <c r="D86" s="111">
        <f t="shared" ca="1" si="8"/>
        <v>0</v>
      </c>
      <c r="E86" s="111">
        <f t="shared" ca="1" si="9"/>
        <v>0</v>
      </c>
      <c r="F86" s="111">
        <f t="shared" ca="1" si="5"/>
        <v>0</v>
      </c>
      <c r="G86" s="112">
        <f ca="1">IF(ROUND(SUM(B86:C86,-F86),0)=0,0,IF($B$6="Yes",SUM($C$9:C86),SUM(B86:C86,-F86)))</f>
        <v>0</v>
      </c>
    </row>
    <row r="87" spans="1:7" ht="16.149999999999999" customHeight="1" x14ac:dyDescent="0.25">
      <c r="A87" s="109">
        <f t="shared" ca="1" si="6"/>
        <v>48213</v>
      </c>
      <c r="B87" s="110">
        <f t="shared" ca="1" si="7"/>
        <v>0</v>
      </c>
      <c r="C87" s="115">
        <v>0</v>
      </c>
      <c r="D87" s="111">
        <f t="shared" ca="1" si="8"/>
        <v>0</v>
      </c>
      <c r="E87" s="111">
        <f t="shared" ca="1" si="9"/>
        <v>0</v>
      </c>
      <c r="F87" s="111">
        <f t="shared" ca="1" si="5"/>
        <v>0</v>
      </c>
      <c r="G87" s="112">
        <f ca="1">IF(ROUND(SUM(B87:C87,-F87),0)=0,0,IF($B$6="Yes",SUM($C$9:C87),SUM(B87:C87,-F87)))</f>
        <v>0</v>
      </c>
    </row>
    <row r="88" spans="1:7" ht="16.149999999999999" customHeight="1" x14ac:dyDescent="0.25">
      <c r="A88" s="109">
        <f t="shared" ca="1" si="6"/>
        <v>48244</v>
      </c>
      <c r="B88" s="110">
        <f t="shared" ca="1" si="7"/>
        <v>0</v>
      </c>
      <c r="C88" s="115">
        <v>0</v>
      </c>
      <c r="D88" s="111">
        <f t="shared" ca="1" si="8"/>
        <v>0</v>
      </c>
      <c r="E88" s="111">
        <f t="shared" ca="1" si="9"/>
        <v>0</v>
      </c>
      <c r="F88" s="111">
        <f t="shared" ca="1" si="5"/>
        <v>0</v>
      </c>
      <c r="G88" s="112">
        <f ca="1">IF(ROUND(SUM(B88:C88,-F88),0)=0,0,IF($B$6="Yes",SUM($C$9:C88),SUM(B88:C88,-F88)))</f>
        <v>0</v>
      </c>
    </row>
    <row r="89" spans="1:7" ht="16.149999999999999" customHeight="1" x14ac:dyDescent="0.25">
      <c r="A89" s="109">
        <f t="shared" ca="1" si="6"/>
        <v>48273</v>
      </c>
      <c r="B89" s="110">
        <f t="shared" ca="1" si="7"/>
        <v>0</v>
      </c>
      <c r="C89" s="115">
        <v>0</v>
      </c>
      <c r="D89" s="111">
        <f t="shared" ca="1" si="8"/>
        <v>0</v>
      </c>
      <c r="E89" s="111">
        <f t="shared" ca="1" si="9"/>
        <v>0</v>
      </c>
      <c r="F89" s="111">
        <f t="shared" ca="1" si="5"/>
        <v>0</v>
      </c>
      <c r="G89" s="112">
        <f ca="1">IF(ROUND(SUM(B89:C89,-F89),0)=0,0,IF($B$6="Yes",SUM($C$9:C89),SUM(B89:C89,-F89)))</f>
        <v>0</v>
      </c>
    </row>
    <row r="90" spans="1:7" ht="16.149999999999999" customHeight="1" x14ac:dyDescent="0.25">
      <c r="A90" s="109">
        <f t="shared" ca="1" si="6"/>
        <v>48304</v>
      </c>
      <c r="B90" s="110">
        <f t="shared" ca="1" si="7"/>
        <v>0</v>
      </c>
      <c r="C90" s="115">
        <v>0</v>
      </c>
      <c r="D90" s="111">
        <f t="shared" ca="1" si="8"/>
        <v>0</v>
      </c>
      <c r="E90" s="111">
        <f t="shared" ca="1" si="9"/>
        <v>0</v>
      </c>
      <c r="F90" s="111">
        <f t="shared" ca="1" si="5"/>
        <v>0</v>
      </c>
      <c r="G90" s="112">
        <f ca="1">IF(ROUND(SUM(B90:C90,-F90),0)=0,0,IF($B$6="Yes",SUM($C$9:C90),SUM(B90:C90,-F90)))</f>
        <v>0</v>
      </c>
    </row>
    <row r="91" spans="1:7" ht="16.149999999999999" customHeight="1" x14ac:dyDescent="0.25">
      <c r="A91" s="109">
        <f t="shared" ca="1" si="6"/>
        <v>48334</v>
      </c>
      <c r="B91" s="110">
        <f t="shared" ca="1" si="7"/>
        <v>0</v>
      </c>
      <c r="C91" s="115">
        <v>0</v>
      </c>
      <c r="D91" s="111">
        <f t="shared" ca="1" si="8"/>
        <v>0</v>
      </c>
      <c r="E91" s="111">
        <f t="shared" ca="1" si="9"/>
        <v>0</v>
      </c>
      <c r="F91" s="111">
        <f t="shared" ca="1" si="5"/>
        <v>0</v>
      </c>
      <c r="G91" s="112">
        <f ca="1">IF(ROUND(SUM(B91:C91,-F91),0)=0,0,IF($B$6="Yes",SUM($C$9:C91),SUM(B91:C91,-F91)))</f>
        <v>0</v>
      </c>
    </row>
    <row r="92" spans="1:7" ht="16.149999999999999" customHeight="1" x14ac:dyDescent="0.25">
      <c r="A92" s="109">
        <f t="shared" ca="1" si="6"/>
        <v>48365</v>
      </c>
      <c r="B92" s="110">
        <f t="shared" ca="1" si="7"/>
        <v>0</v>
      </c>
      <c r="C92" s="115">
        <v>0</v>
      </c>
      <c r="D92" s="111">
        <f t="shared" ca="1" si="8"/>
        <v>0</v>
      </c>
      <c r="E92" s="111">
        <f t="shared" ca="1" si="9"/>
        <v>0</v>
      </c>
      <c r="F92" s="111">
        <f t="shared" ca="1" si="5"/>
        <v>0</v>
      </c>
      <c r="G92" s="112">
        <f ca="1">IF(ROUND(SUM(B92:C92,-F92),0)=0,0,IF($B$6="Yes",SUM($C$9:C92),SUM(B92:C92,-F92)))</f>
        <v>0</v>
      </c>
    </row>
    <row r="93" spans="1:7" ht="16.149999999999999" customHeight="1" x14ac:dyDescent="0.25">
      <c r="A93" s="109">
        <f t="shared" ca="1" si="6"/>
        <v>48395</v>
      </c>
      <c r="B93" s="110">
        <f t="shared" ca="1" si="7"/>
        <v>0</v>
      </c>
      <c r="C93" s="115">
        <v>0</v>
      </c>
      <c r="D93" s="111">
        <f t="shared" ca="1" si="8"/>
        <v>0</v>
      </c>
      <c r="E93" s="111">
        <f t="shared" ca="1" si="9"/>
        <v>0</v>
      </c>
      <c r="F93" s="111">
        <f t="shared" ca="1" si="5"/>
        <v>0</v>
      </c>
      <c r="G93" s="112">
        <f ca="1">IF(ROUND(SUM(B93:C93,-F93),0)=0,0,IF($B$6="Yes",SUM($C$9:C93),SUM(B93:C93,-F93)))</f>
        <v>0</v>
      </c>
    </row>
    <row r="94" spans="1:7" ht="16.149999999999999" customHeight="1" x14ac:dyDescent="0.25">
      <c r="A94" s="109">
        <f t="shared" ca="1" si="6"/>
        <v>48426</v>
      </c>
      <c r="B94" s="110">
        <f t="shared" ca="1" si="7"/>
        <v>0</v>
      </c>
      <c r="C94" s="115">
        <v>0</v>
      </c>
      <c r="D94" s="111">
        <f t="shared" ca="1" si="8"/>
        <v>0</v>
      </c>
      <c r="E94" s="111">
        <f t="shared" ca="1" si="9"/>
        <v>0</v>
      </c>
      <c r="F94" s="111">
        <f t="shared" ca="1" si="5"/>
        <v>0</v>
      </c>
      <c r="G94" s="112">
        <f ca="1">IF(ROUND(SUM(B94:C94,-F94),0)=0,0,IF($B$6="Yes",SUM($C$9:C94),SUM(B94:C94,-F94)))</f>
        <v>0</v>
      </c>
    </row>
    <row r="95" spans="1:7" ht="16.149999999999999" customHeight="1" x14ac:dyDescent="0.25">
      <c r="A95" s="109">
        <f t="shared" ca="1" si="6"/>
        <v>48457</v>
      </c>
      <c r="B95" s="110">
        <f t="shared" ca="1" si="7"/>
        <v>0</v>
      </c>
      <c r="C95" s="115">
        <v>0</v>
      </c>
      <c r="D95" s="111">
        <f t="shared" ca="1" si="8"/>
        <v>0</v>
      </c>
      <c r="E95" s="111">
        <f t="shared" ca="1" si="9"/>
        <v>0</v>
      </c>
      <c r="F95" s="111">
        <f t="shared" ca="1" si="5"/>
        <v>0</v>
      </c>
      <c r="G95" s="112">
        <f ca="1">IF(ROUND(SUM(B95:C95,-F95),0)=0,0,IF($B$6="Yes",SUM($C$9:C95),SUM(B95:C95,-F95)))</f>
        <v>0</v>
      </c>
    </row>
    <row r="96" spans="1:7" ht="16.149999999999999" customHeight="1" x14ac:dyDescent="0.25">
      <c r="A96" s="109">
        <f t="shared" ca="1" si="6"/>
        <v>48487</v>
      </c>
      <c r="B96" s="110">
        <f t="shared" ca="1" si="7"/>
        <v>0</v>
      </c>
      <c r="C96" s="115">
        <v>0</v>
      </c>
      <c r="D96" s="111">
        <f t="shared" ca="1" si="8"/>
        <v>0</v>
      </c>
      <c r="E96" s="111">
        <f t="shared" ca="1" si="9"/>
        <v>0</v>
      </c>
      <c r="F96" s="111">
        <f t="shared" ca="1" si="5"/>
        <v>0</v>
      </c>
      <c r="G96" s="112">
        <f ca="1">IF(ROUND(SUM(B96:C96,-F96),0)=0,0,IF($B$6="Yes",SUM($C$9:C96),SUM(B96:C96,-F96)))</f>
        <v>0</v>
      </c>
    </row>
    <row r="97" spans="1:7" ht="16.149999999999999" customHeight="1" x14ac:dyDescent="0.25">
      <c r="A97" s="109">
        <f t="shared" ca="1" si="6"/>
        <v>48518</v>
      </c>
      <c r="B97" s="110">
        <f t="shared" ca="1" si="7"/>
        <v>0</v>
      </c>
      <c r="C97" s="115">
        <v>0</v>
      </c>
      <c r="D97" s="111">
        <f t="shared" ca="1" si="8"/>
        <v>0</v>
      </c>
      <c r="E97" s="111">
        <f t="shared" ca="1" si="9"/>
        <v>0</v>
      </c>
      <c r="F97" s="111">
        <f t="shared" ca="1" si="5"/>
        <v>0</v>
      </c>
      <c r="G97" s="112">
        <f ca="1">IF(ROUND(SUM(B97:C97,-F97),0)=0,0,IF($B$6="Yes",SUM($C$9:C97),SUM(B97:C97,-F97)))</f>
        <v>0</v>
      </c>
    </row>
    <row r="98" spans="1:7" ht="16.149999999999999" customHeight="1" x14ac:dyDescent="0.25">
      <c r="A98" s="109">
        <f t="shared" ca="1" si="6"/>
        <v>48548</v>
      </c>
      <c r="B98" s="110">
        <f t="shared" ca="1" si="7"/>
        <v>0</v>
      </c>
      <c r="C98" s="115">
        <v>0</v>
      </c>
      <c r="D98" s="111">
        <f t="shared" ca="1" si="8"/>
        <v>0</v>
      </c>
      <c r="E98" s="111">
        <f t="shared" ca="1" si="9"/>
        <v>0</v>
      </c>
      <c r="F98" s="111">
        <f t="shared" ca="1" si="5"/>
        <v>0</v>
      </c>
      <c r="G98" s="112">
        <f ca="1">IF(ROUND(SUM(B98:C98,-F98),0)=0,0,IF($B$6="Yes",SUM($C$9:C98),SUM(B98:C98,-F98)))</f>
        <v>0</v>
      </c>
    </row>
    <row r="99" spans="1:7" ht="16.149999999999999" customHeight="1" x14ac:dyDescent="0.25">
      <c r="A99" s="109">
        <f t="shared" ca="1" si="6"/>
        <v>48579</v>
      </c>
      <c r="B99" s="110">
        <f t="shared" ca="1" si="7"/>
        <v>0</v>
      </c>
      <c r="C99" s="115">
        <v>0</v>
      </c>
      <c r="D99" s="111">
        <f t="shared" ca="1" si="8"/>
        <v>0</v>
      </c>
      <c r="E99" s="111">
        <f t="shared" ca="1" si="9"/>
        <v>0</v>
      </c>
      <c r="F99" s="111">
        <f t="shared" ca="1" si="5"/>
        <v>0</v>
      </c>
      <c r="G99" s="112">
        <f ca="1">IF(ROUND(SUM(B99:C99,-F99),0)=0,0,IF($B$6="Yes",SUM($C$9:C99),SUM(B99:C99,-F99)))</f>
        <v>0</v>
      </c>
    </row>
    <row r="100" spans="1:7" ht="16.149999999999999" customHeight="1" x14ac:dyDescent="0.25">
      <c r="A100" s="109">
        <f t="shared" ca="1" si="6"/>
        <v>48610</v>
      </c>
      <c r="B100" s="110">
        <f t="shared" ca="1" si="7"/>
        <v>0</v>
      </c>
      <c r="C100" s="115">
        <v>0</v>
      </c>
      <c r="D100" s="111">
        <f t="shared" ca="1" si="8"/>
        <v>0</v>
      </c>
      <c r="E100" s="111">
        <f t="shared" ca="1" si="9"/>
        <v>0</v>
      </c>
      <c r="F100" s="111">
        <f t="shared" ca="1" si="5"/>
        <v>0</v>
      </c>
      <c r="G100" s="112">
        <f ca="1">IF(ROUND(SUM(B100:C100,-F100),0)=0,0,IF($B$6="Yes",SUM($C$9:C100),SUM(B100:C100,-F100)))</f>
        <v>0</v>
      </c>
    </row>
    <row r="101" spans="1:7" ht="16.149999999999999" customHeight="1" x14ac:dyDescent="0.25">
      <c r="A101" s="109">
        <f t="shared" ca="1" si="6"/>
        <v>48638</v>
      </c>
      <c r="B101" s="110">
        <f t="shared" ca="1" si="7"/>
        <v>0</v>
      </c>
      <c r="C101" s="115">
        <v>0</v>
      </c>
      <c r="D101" s="111">
        <f t="shared" ca="1" si="8"/>
        <v>0</v>
      </c>
      <c r="E101" s="111">
        <f t="shared" ca="1" si="9"/>
        <v>0</v>
      </c>
      <c r="F101" s="111">
        <f t="shared" ca="1" si="5"/>
        <v>0</v>
      </c>
      <c r="G101" s="112">
        <f ca="1">IF(ROUND(SUM(B101:C101,-F101),0)=0,0,IF($B$6="Yes",SUM($C$9:C101),SUM(B101:C101,-F101)))</f>
        <v>0</v>
      </c>
    </row>
    <row r="102" spans="1:7" ht="16.149999999999999" customHeight="1" x14ac:dyDescent="0.25">
      <c r="A102" s="109">
        <f t="shared" ca="1" si="6"/>
        <v>48669</v>
      </c>
      <c r="B102" s="110">
        <f t="shared" ca="1" si="7"/>
        <v>0</v>
      </c>
      <c r="C102" s="115">
        <v>0</v>
      </c>
      <c r="D102" s="111">
        <f t="shared" ca="1" si="8"/>
        <v>0</v>
      </c>
      <c r="E102" s="111">
        <f t="shared" ca="1" si="9"/>
        <v>0</v>
      </c>
      <c r="F102" s="111">
        <f t="shared" ca="1" si="5"/>
        <v>0</v>
      </c>
      <c r="G102" s="112">
        <f ca="1">IF(ROUND(SUM(B102:C102,-F102),0)=0,0,IF($B$6="Yes",SUM($C$9:C102),SUM(B102:C102,-F102)))</f>
        <v>0</v>
      </c>
    </row>
    <row r="103" spans="1:7" ht="16.149999999999999" customHeight="1" x14ac:dyDescent="0.25">
      <c r="A103" s="109">
        <f t="shared" ca="1" si="6"/>
        <v>48699</v>
      </c>
      <c r="B103" s="110">
        <f t="shared" ca="1" si="7"/>
        <v>0</v>
      </c>
      <c r="C103" s="115">
        <v>0</v>
      </c>
      <c r="D103" s="111">
        <f t="shared" ca="1" si="8"/>
        <v>0</v>
      </c>
      <c r="E103" s="111">
        <f t="shared" ca="1" si="9"/>
        <v>0</v>
      </c>
      <c r="F103" s="111">
        <f t="shared" ca="1" si="5"/>
        <v>0</v>
      </c>
      <c r="G103" s="112">
        <f ca="1">IF(ROUND(SUM(B103:C103,-F103),0)=0,0,IF($B$6="Yes",SUM($C$9:C103),SUM(B103:C103,-F103)))</f>
        <v>0</v>
      </c>
    </row>
    <row r="104" spans="1:7" ht="16.149999999999999" customHeight="1" x14ac:dyDescent="0.25">
      <c r="A104" s="109">
        <f t="shared" ca="1" si="6"/>
        <v>48730</v>
      </c>
      <c r="B104" s="110">
        <f t="shared" ca="1" si="7"/>
        <v>0</v>
      </c>
      <c r="C104" s="115">
        <v>0</v>
      </c>
      <c r="D104" s="111">
        <f t="shared" ca="1" si="8"/>
        <v>0</v>
      </c>
      <c r="E104" s="111">
        <f t="shared" ca="1" si="9"/>
        <v>0</v>
      </c>
      <c r="F104" s="111">
        <f t="shared" ca="1" si="5"/>
        <v>0</v>
      </c>
      <c r="G104" s="112">
        <f ca="1">IF(ROUND(SUM(B104:C104,-F104),0)=0,0,IF($B$6="Yes",SUM($C$9:C104),SUM(B104:C104,-F104)))</f>
        <v>0</v>
      </c>
    </row>
    <row r="105" spans="1:7" ht="16.149999999999999" customHeight="1" x14ac:dyDescent="0.25">
      <c r="A105" s="109">
        <f t="shared" ca="1" si="6"/>
        <v>48760</v>
      </c>
      <c r="B105" s="110">
        <f t="shared" ca="1" si="7"/>
        <v>0</v>
      </c>
      <c r="C105" s="115">
        <v>0</v>
      </c>
      <c r="D105" s="111">
        <f t="shared" ca="1" si="8"/>
        <v>0</v>
      </c>
      <c r="E105" s="111">
        <f t="shared" ca="1" si="9"/>
        <v>0</v>
      </c>
      <c r="F105" s="111">
        <f t="shared" ca="1" si="5"/>
        <v>0</v>
      </c>
      <c r="G105" s="112">
        <f ca="1">IF(ROUND(SUM(B105:C105,-F105),0)=0,0,IF($B$6="Yes",SUM($C$9:C105),SUM(B105:C105,-F105)))</f>
        <v>0</v>
      </c>
    </row>
    <row r="106" spans="1:7" ht="16.149999999999999" customHeight="1" x14ac:dyDescent="0.25">
      <c r="A106" s="109">
        <f t="shared" ca="1" si="6"/>
        <v>48791</v>
      </c>
      <c r="B106" s="110">
        <f t="shared" ca="1" si="7"/>
        <v>0</v>
      </c>
      <c r="C106" s="115">
        <v>0</v>
      </c>
      <c r="D106" s="111">
        <f t="shared" ca="1" si="8"/>
        <v>0</v>
      </c>
      <c r="E106" s="111">
        <f t="shared" ca="1" si="9"/>
        <v>0</v>
      </c>
      <c r="F106" s="111">
        <f t="shared" ca="1" si="5"/>
        <v>0</v>
      </c>
      <c r="G106" s="112">
        <f ca="1">IF(ROUND(SUM(B106:C106,-F106),0)=0,0,IF($B$6="Yes",SUM($C$9:C106),SUM(B106:C106,-F106)))</f>
        <v>0</v>
      </c>
    </row>
    <row r="107" spans="1:7" ht="16.149999999999999" customHeight="1" x14ac:dyDescent="0.25">
      <c r="A107" s="109">
        <f t="shared" ca="1" si="6"/>
        <v>48822</v>
      </c>
      <c r="B107" s="110">
        <f t="shared" ca="1" si="7"/>
        <v>0</v>
      </c>
      <c r="C107" s="115">
        <v>0</v>
      </c>
      <c r="D107" s="111">
        <f t="shared" ca="1" si="8"/>
        <v>0</v>
      </c>
      <c r="E107" s="111">
        <f t="shared" ca="1" si="9"/>
        <v>0</v>
      </c>
      <c r="F107" s="111">
        <f t="shared" ca="1" si="5"/>
        <v>0</v>
      </c>
      <c r="G107" s="112">
        <f ca="1">IF(ROUND(SUM(B107:C107,-F107),0)=0,0,IF($B$6="Yes",SUM($C$9:C107),SUM(B107:C107,-F107)))</f>
        <v>0</v>
      </c>
    </row>
    <row r="108" spans="1:7" ht="16.149999999999999" customHeight="1" x14ac:dyDescent="0.25">
      <c r="A108" s="109">
        <f t="shared" ca="1" si="6"/>
        <v>48852</v>
      </c>
      <c r="B108" s="110">
        <f t="shared" ca="1" si="7"/>
        <v>0</v>
      </c>
      <c r="C108" s="115">
        <v>0</v>
      </c>
      <c r="D108" s="111">
        <f t="shared" ca="1" si="8"/>
        <v>0</v>
      </c>
      <c r="E108" s="111">
        <f t="shared" ca="1" si="9"/>
        <v>0</v>
      </c>
      <c r="F108" s="111">
        <f t="shared" ca="1" si="5"/>
        <v>0</v>
      </c>
      <c r="G108" s="112">
        <f ca="1">IF(ROUND(SUM(B108:C108,-F108),0)=0,0,IF($B$6="Yes",SUM($C$9:C108),SUM(B108:C108,-F108)))</f>
        <v>0</v>
      </c>
    </row>
    <row r="109" spans="1:7" ht="16.149999999999999" customHeight="1" x14ac:dyDescent="0.25">
      <c r="A109" s="109">
        <f t="shared" ca="1" si="6"/>
        <v>48883</v>
      </c>
      <c r="B109" s="110">
        <f t="shared" ca="1" si="7"/>
        <v>0</v>
      </c>
      <c r="C109" s="115">
        <v>0</v>
      </c>
      <c r="D109" s="111">
        <f t="shared" ca="1" si="8"/>
        <v>0</v>
      </c>
      <c r="E109" s="111">
        <f t="shared" ca="1" si="9"/>
        <v>0</v>
      </c>
      <c r="F109" s="111">
        <f t="shared" ca="1" si="5"/>
        <v>0</v>
      </c>
      <c r="G109" s="112">
        <f ca="1">IF(ROUND(SUM(B109:C109,-F109),0)=0,0,IF($B$6="Yes",SUM($C$9:C109),SUM(B109:C109,-F109)))</f>
        <v>0</v>
      </c>
    </row>
    <row r="110" spans="1:7" ht="16.149999999999999" customHeight="1" x14ac:dyDescent="0.25">
      <c r="A110" s="109">
        <f t="shared" ca="1" si="6"/>
        <v>48913</v>
      </c>
      <c r="B110" s="110">
        <f t="shared" ca="1" si="7"/>
        <v>0</v>
      </c>
      <c r="C110" s="115">
        <v>0</v>
      </c>
      <c r="D110" s="111">
        <f t="shared" ca="1" si="8"/>
        <v>0</v>
      </c>
      <c r="E110" s="111">
        <f t="shared" ca="1" si="9"/>
        <v>0</v>
      </c>
      <c r="F110" s="111">
        <f t="shared" ca="1" si="5"/>
        <v>0</v>
      </c>
      <c r="G110" s="112">
        <f ca="1">IF(ROUND(SUM(B110:C110,-F110),0)=0,0,IF($B$6="Yes",SUM($C$9:C110),SUM(B110:C110,-F110)))</f>
        <v>0</v>
      </c>
    </row>
    <row r="111" spans="1:7" ht="16.149999999999999" customHeight="1" x14ac:dyDescent="0.25">
      <c r="A111" s="109">
        <f t="shared" ca="1" si="6"/>
        <v>48944</v>
      </c>
      <c r="B111" s="110">
        <f t="shared" ca="1" si="7"/>
        <v>0</v>
      </c>
      <c r="C111" s="115">
        <v>0</v>
      </c>
      <c r="D111" s="111">
        <f t="shared" ca="1" si="8"/>
        <v>0</v>
      </c>
      <c r="E111" s="111">
        <f t="shared" ca="1" si="9"/>
        <v>0</v>
      </c>
      <c r="F111" s="111">
        <f t="shared" ca="1" si="5"/>
        <v>0</v>
      </c>
      <c r="G111" s="112">
        <f ca="1">IF(ROUND(SUM(B111:C111,-F111),0)=0,0,IF($B$6="Yes",SUM($C$9:C111),SUM(B111:C111,-F111)))</f>
        <v>0</v>
      </c>
    </row>
    <row r="112" spans="1:7" ht="16.149999999999999" customHeight="1" x14ac:dyDescent="0.25">
      <c r="A112" s="109">
        <f t="shared" ca="1" si="6"/>
        <v>48975</v>
      </c>
      <c r="B112" s="110">
        <f t="shared" ca="1" si="7"/>
        <v>0</v>
      </c>
      <c r="C112" s="115">
        <v>0</v>
      </c>
      <c r="D112" s="111">
        <f t="shared" ca="1" si="8"/>
        <v>0</v>
      </c>
      <c r="E112" s="111">
        <f t="shared" ca="1" si="9"/>
        <v>0</v>
      </c>
      <c r="F112" s="111">
        <f t="shared" ca="1" si="5"/>
        <v>0</v>
      </c>
      <c r="G112" s="112">
        <f ca="1">IF(ROUND(SUM(B112:C112,-F112),0)=0,0,IF($B$6="Yes",SUM($C$9:C112),SUM(B112:C112,-F112)))</f>
        <v>0</v>
      </c>
    </row>
    <row r="113" spans="1:7" ht="16.149999999999999" customHeight="1" x14ac:dyDescent="0.25">
      <c r="A113" s="109">
        <f t="shared" ca="1" si="6"/>
        <v>49003</v>
      </c>
      <c r="B113" s="110">
        <f t="shared" ca="1" si="7"/>
        <v>0</v>
      </c>
      <c r="C113" s="115">
        <v>0</v>
      </c>
      <c r="D113" s="111">
        <f t="shared" ca="1" si="8"/>
        <v>0</v>
      </c>
      <c r="E113" s="111">
        <f t="shared" ca="1" si="9"/>
        <v>0</v>
      </c>
      <c r="F113" s="111">
        <f t="shared" ca="1" si="5"/>
        <v>0</v>
      </c>
      <c r="G113" s="112">
        <f ca="1">IF(ROUND(SUM(B113:C113,-F113),0)=0,0,IF($B$6="Yes",SUM($C$9:C113),SUM(B113:C113,-F113)))</f>
        <v>0</v>
      </c>
    </row>
    <row r="114" spans="1:7" ht="16.149999999999999" customHeight="1" x14ac:dyDescent="0.25">
      <c r="A114" s="109">
        <f t="shared" ca="1" si="6"/>
        <v>49034</v>
      </c>
      <c r="B114" s="110">
        <f t="shared" ca="1" si="7"/>
        <v>0</v>
      </c>
      <c r="C114" s="115">
        <v>0</v>
      </c>
      <c r="D114" s="111">
        <f t="shared" ca="1" si="8"/>
        <v>0</v>
      </c>
      <c r="E114" s="111">
        <f t="shared" ca="1" si="9"/>
        <v>0</v>
      </c>
      <c r="F114" s="111">
        <f t="shared" ca="1" si="5"/>
        <v>0</v>
      </c>
      <c r="G114" s="112">
        <f ca="1">IF(ROUND(SUM(B114:C114,-F114),0)=0,0,IF($B$6="Yes",SUM($C$9:C114),SUM(B114:C114,-F114)))</f>
        <v>0</v>
      </c>
    </row>
    <row r="115" spans="1:7" ht="16.149999999999999" customHeight="1" x14ac:dyDescent="0.25">
      <c r="A115" s="109">
        <f t="shared" ca="1" si="6"/>
        <v>49064</v>
      </c>
      <c r="B115" s="110">
        <f t="shared" ca="1" si="7"/>
        <v>0</v>
      </c>
      <c r="C115" s="115">
        <v>0</v>
      </c>
      <c r="D115" s="111">
        <f t="shared" ca="1" si="8"/>
        <v>0</v>
      </c>
      <c r="E115" s="111">
        <f t="shared" ca="1" si="9"/>
        <v>0</v>
      </c>
      <c r="F115" s="111">
        <f t="shared" ca="1" si="5"/>
        <v>0</v>
      </c>
      <c r="G115" s="112">
        <f ca="1">IF(ROUND(SUM(B115:C115,-F115),0)=0,0,IF($B$6="Yes",SUM($C$9:C115),SUM(B115:C115,-F115)))</f>
        <v>0</v>
      </c>
    </row>
    <row r="116" spans="1:7" ht="16.149999999999999" customHeight="1" x14ac:dyDescent="0.25">
      <c r="A116" s="109">
        <f t="shared" ca="1" si="6"/>
        <v>49095</v>
      </c>
      <c r="B116" s="110">
        <f t="shared" ca="1" si="7"/>
        <v>0</v>
      </c>
      <c r="C116" s="115">
        <v>0</v>
      </c>
      <c r="D116" s="111">
        <f t="shared" ca="1" si="8"/>
        <v>0</v>
      </c>
      <c r="E116" s="111">
        <f t="shared" ca="1" si="9"/>
        <v>0</v>
      </c>
      <c r="F116" s="111">
        <f t="shared" ca="1" si="5"/>
        <v>0</v>
      </c>
      <c r="G116" s="112">
        <f ca="1">IF(ROUND(SUM(B116:C116,-F116),0)=0,0,IF($B$6="Yes",SUM($C$9:C116),SUM(B116:C116,-F116)))</f>
        <v>0</v>
      </c>
    </row>
    <row r="117" spans="1:7" ht="16.149999999999999" customHeight="1" x14ac:dyDescent="0.25">
      <c r="A117" s="109">
        <f t="shared" ca="1" si="6"/>
        <v>49125</v>
      </c>
      <c r="B117" s="110">
        <f t="shared" ca="1" si="7"/>
        <v>0</v>
      </c>
      <c r="C117" s="115">
        <v>0</v>
      </c>
      <c r="D117" s="111">
        <f t="shared" ca="1" si="8"/>
        <v>0</v>
      </c>
      <c r="E117" s="111">
        <f t="shared" ca="1" si="9"/>
        <v>0</v>
      </c>
      <c r="F117" s="111">
        <f t="shared" ca="1" si="5"/>
        <v>0</v>
      </c>
      <c r="G117" s="112">
        <f ca="1">IF(ROUND(SUM(B117:C117,-F117),0)=0,0,IF($B$6="Yes",SUM($C$9:C117),SUM(B117:C117,-F117)))</f>
        <v>0</v>
      </c>
    </row>
    <row r="118" spans="1:7" ht="16.149999999999999" customHeight="1" x14ac:dyDescent="0.25">
      <c r="A118" s="109">
        <f t="shared" ca="1" si="6"/>
        <v>49156</v>
      </c>
      <c r="B118" s="110">
        <f t="shared" ca="1" si="7"/>
        <v>0</v>
      </c>
      <c r="C118" s="115">
        <v>0</v>
      </c>
      <c r="D118" s="111">
        <f t="shared" ca="1" si="8"/>
        <v>0</v>
      </c>
      <c r="E118" s="111">
        <f t="shared" ca="1" si="9"/>
        <v>0</v>
      </c>
      <c r="F118" s="111">
        <f t="shared" ca="1" si="5"/>
        <v>0</v>
      </c>
      <c r="G118" s="112">
        <f ca="1">IF(ROUND(SUM(B118:C118,-F118),0)=0,0,IF($B$6="Yes",SUM($C$9:C118),SUM(B118:C118,-F118)))</f>
        <v>0</v>
      </c>
    </row>
    <row r="119" spans="1:7" ht="16.149999999999999" customHeight="1" x14ac:dyDescent="0.25">
      <c r="A119" s="109">
        <f t="shared" ca="1" si="6"/>
        <v>49187</v>
      </c>
      <c r="B119" s="110">
        <f t="shared" ca="1" si="7"/>
        <v>0</v>
      </c>
      <c r="C119" s="115">
        <v>0</v>
      </c>
      <c r="D119" s="111">
        <f t="shared" ca="1" si="8"/>
        <v>0</v>
      </c>
      <c r="E119" s="111">
        <f t="shared" ca="1" si="9"/>
        <v>0</v>
      </c>
      <c r="F119" s="111">
        <f t="shared" ca="1" si="5"/>
        <v>0</v>
      </c>
      <c r="G119" s="112">
        <f ca="1">IF(ROUND(SUM(B119:C119,-F119),0)=0,0,IF($B$6="Yes",SUM($C$9:C119),SUM(B119:C119,-F119)))</f>
        <v>0</v>
      </c>
    </row>
    <row r="120" spans="1:7" ht="16.149999999999999" customHeight="1" x14ac:dyDescent="0.25">
      <c r="A120" s="109">
        <f t="shared" ca="1" si="6"/>
        <v>49217</v>
      </c>
      <c r="B120" s="110">
        <f t="shared" ca="1" si="7"/>
        <v>0</v>
      </c>
      <c r="C120" s="115">
        <v>0</v>
      </c>
      <c r="D120" s="111">
        <f t="shared" ca="1" si="8"/>
        <v>0</v>
      </c>
      <c r="E120" s="111">
        <f t="shared" ca="1" si="9"/>
        <v>0</v>
      </c>
      <c r="F120" s="111">
        <f t="shared" ca="1" si="5"/>
        <v>0</v>
      </c>
      <c r="G120" s="112">
        <f ca="1">IF(ROUND(SUM(B120:C120,-F120),0)=0,0,IF($B$6="Yes",SUM($C$9:C120),SUM(B120:C120,-F120)))</f>
        <v>0</v>
      </c>
    </row>
    <row r="121" spans="1:7" ht="16.149999999999999" customHeight="1" x14ac:dyDescent="0.25">
      <c r="A121" s="109">
        <f t="shared" ca="1" si="6"/>
        <v>49248</v>
      </c>
      <c r="B121" s="110">
        <f t="shared" ca="1" si="7"/>
        <v>0</v>
      </c>
      <c r="C121" s="115">
        <v>0</v>
      </c>
      <c r="D121" s="111">
        <f t="shared" ca="1" si="8"/>
        <v>0</v>
      </c>
      <c r="E121" s="111">
        <f t="shared" ca="1" si="9"/>
        <v>0</v>
      </c>
      <c r="F121" s="111">
        <f t="shared" ca="1" si="5"/>
        <v>0</v>
      </c>
      <c r="G121" s="112">
        <f ca="1">IF(ROUND(SUM(B121:C121,-F121),0)=0,0,IF($B$6="Yes",SUM($C$9:C121),SUM(B121:C121,-F121)))</f>
        <v>0</v>
      </c>
    </row>
    <row r="122" spans="1:7" ht="16.149999999999999" customHeight="1" x14ac:dyDescent="0.25">
      <c r="A122" s="109">
        <f t="shared" ca="1" si="6"/>
        <v>49278</v>
      </c>
      <c r="B122" s="110">
        <f t="shared" ca="1" si="7"/>
        <v>0</v>
      </c>
      <c r="C122" s="115">
        <v>0</v>
      </c>
      <c r="D122" s="111">
        <f t="shared" ca="1" si="8"/>
        <v>0</v>
      </c>
      <c r="E122" s="111">
        <f t="shared" ca="1" si="9"/>
        <v>0</v>
      </c>
      <c r="F122" s="111">
        <f t="shared" ca="1" si="5"/>
        <v>0</v>
      </c>
      <c r="G122" s="112">
        <f ca="1">IF(ROUND(SUM(B122:C122,-F122),0)=0,0,IF($B$6="Yes",SUM($C$9:C122),SUM(B122:C122,-F122)))</f>
        <v>0</v>
      </c>
    </row>
    <row r="123" spans="1:7" ht="16.149999999999999" customHeight="1" x14ac:dyDescent="0.25">
      <c r="A123" s="109">
        <f t="shared" ca="1" si="6"/>
        <v>49309</v>
      </c>
      <c r="B123" s="110">
        <f t="shared" ca="1" si="7"/>
        <v>0</v>
      </c>
      <c r="C123" s="115">
        <v>0</v>
      </c>
      <c r="D123" s="111">
        <f t="shared" ca="1" si="8"/>
        <v>0</v>
      </c>
      <c r="E123" s="111">
        <f t="shared" ca="1" si="9"/>
        <v>0</v>
      </c>
      <c r="F123" s="111">
        <f t="shared" ca="1" si="5"/>
        <v>0</v>
      </c>
      <c r="G123" s="112">
        <f ca="1">IF(ROUND(SUM(B123:C123,-F123),0)=0,0,IF($B$6="Yes",SUM($C$9:C123),SUM(B123:C123,-F123)))</f>
        <v>0</v>
      </c>
    </row>
    <row r="124" spans="1:7" ht="16.149999999999999" customHeight="1" x14ac:dyDescent="0.25">
      <c r="A124" s="109">
        <f t="shared" ca="1" si="6"/>
        <v>49340</v>
      </c>
      <c r="B124" s="110">
        <f t="shared" ca="1" si="7"/>
        <v>0</v>
      </c>
      <c r="C124" s="115">
        <v>0</v>
      </c>
      <c r="D124" s="111">
        <f t="shared" ca="1" si="8"/>
        <v>0</v>
      </c>
      <c r="E124" s="111">
        <f t="shared" ca="1" si="9"/>
        <v>0</v>
      </c>
      <c r="F124" s="111">
        <f t="shared" ca="1" si="5"/>
        <v>0</v>
      </c>
      <c r="G124" s="112">
        <f ca="1">IF(ROUND(SUM(B124:C124,-F124),0)=0,0,IF($B$6="Yes",SUM($C$9:C124),SUM(B124:C124,-F124)))</f>
        <v>0</v>
      </c>
    </row>
    <row r="125" spans="1:7" ht="16.149999999999999" customHeight="1" x14ac:dyDescent="0.25">
      <c r="A125" s="109">
        <f t="shared" ca="1" si="6"/>
        <v>49368</v>
      </c>
      <c r="B125" s="110">
        <f t="shared" ca="1" si="7"/>
        <v>0</v>
      </c>
      <c r="C125" s="115">
        <v>0</v>
      </c>
      <c r="D125" s="111">
        <f t="shared" ca="1" si="8"/>
        <v>0</v>
      </c>
      <c r="E125" s="111">
        <f t="shared" ca="1" si="9"/>
        <v>0</v>
      </c>
      <c r="F125" s="111">
        <f t="shared" ca="1" si="5"/>
        <v>0</v>
      </c>
      <c r="G125" s="112">
        <f ca="1">IF(ROUND(SUM(B125:C125,-F125),0)=0,0,IF($B$6="Yes",SUM($C$9:C125),SUM(B125:C125,-F125)))</f>
        <v>0</v>
      </c>
    </row>
    <row r="126" spans="1:7" ht="16.149999999999999" customHeight="1" x14ac:dyDescent="0.25">
      <c r="A126" s="109">
        <f ca="1">DATE(YEAR(A125),MONTH(A125)+2,0)</f>
        <v>49399</v>
      </c>
      <c r="B126" s="110">
        <f t="shared" ca="1" si="7"/>
        <v>0</v>
      </c>
      <c r="C126" s="115">
        <v>0</v>
      </c>
      <c r="D126" s="111">
        <f t="shared" ca="1" si="8"/>
        <v>0</v>
      </c>
      <c r="E126" s="111">
        <f t="shared" ca="1" si="9"/>
        <v>0</v>
      </c>
      <c r="F126" s="111">
        <f t="shared" ca="1" si="5"/>
        <v>0</v>
      </c>
      <c r="G126" s="112">
        <f ca="1">IF(ROUND(SUM(B126:C126,-F126),0)=0,0,IF($B$6="Yes",SUM($C$9:C126),SUM(B126:C126,-F126)))</f>
        <v>0</v>
      </c>
    </row>
    <row r="127" spans="1:7" ht="16.149999999999999" customHeight="1" x14ac:dyDescent="0.25">
      <c r="A127" s="109">
        <f ca="1">DATE(YEAR(A126),MONTH(A126)+2,0)</f>
        <v>49429</v>
      </c>
      <c r="B127" s="110">
        <f t="shared" ca="1" si="7"/>
        <v>0</v>
      </c>
      <c r="C127" s="115">
        <v>0</v>
      </c>
      <c r="D127" s="111">
        <f t="shared" ca="1" si="8"/>
        <v>0</v>
      </c>
      <c r="E127" s="111">
        <f t="shared" ca="1" si="9"/>
        <v>0</v>
      </c>
      <c r="F127" s="111">
        <f t="shared" ca="1" si="5"/>
        <v>0</v>
      </c>
      <c r="G127" s="112">
        <f ca="1">IF(ROUND(SUM(B127:C127,-F127),0)=0,0,IF($B$6="Yes",SUM($C$9:C127),SUM(B127:C127,-F127)))</f>
        <v>0</v>
      </c>
    </row>
    <row r="128" spans="1:7" ht="16.149999999999999" customHeight="1" x14ac:dyDescent="0.25">
      <c r="A128" s="109">
        <f ca="1">DATE(YEAR(A127),MONTH(A127)+2,0)</f>
        <v>49460</v>
      </c>
      <c r="B128" s="110">
        <f t="shared" ca="1" si="7"/>
        <v>0</v>
      </c>
      <c r="C128" s="115">
        <v>0</v>
      </c>
      <c r="D128" s="111">
        <f t="shared" ca="1" si="8"/>
        <v>0</v>
      </c>
      <c r="E128" s="111">
        <f t="shared" ca="1" si="9"/>
        <v>0</v>
      </c>
      <c r="F128" s="111">
        <f t="shared" ca="1" si="5"/>
        <v>0</v>
      </c>
      <c r="G128" s="112">
        <f ca="1">IF(ROUND(SUM(B128:C128,-F128),0)=0,0,IF($B$6="Yes",SUM($C$9:C128),SUM(B128:C128,-F128)))</f>
        <v>0</v>
      </c>
    </row>
    <row r="129" spans="1:7" ht="16.149999999999999" customHeight="1" x14ac:dyDescent="0.25">
      <c r="A129" s="109">
        <f t="shared" ref="A129:A165" ca="1" si="10">DATE(YEAR(A128),MONTH(A128)+2,0)</f>
        <v>49490</v>
      </c>
      <c r="B129" s="110">
        <f t="shared" ref="B129:B165" ca="1" si="11">G128</f>
        <v>0</v>
      </c>
      <c r="C129" s="115">
        <v>0</v>
      </c>
      <c r="D129" s="111">
        <f t="shared" ca="1" si="8"/>
        <v>0</v>
      </c>
      <c r="E129" s="111">
        <f t="shared" ca="1" si="9"/>
        <v>0</v>
      </c>
      <c r="F129" s="111">
        <f t="shared" ref="F129:F165" ca="1" si="12">IF($B$6="Yes",0,D129-E129)</f>
        <v>0</v>
      </c>
      <c r="G129" s="112">
        <f ca="1">IF(ROUND(SUM(B129:C129,-F129),0)=0,0,IF($B$6="Yes",SUM($C$9:C129),SUM(B129:C129,-F129)))</f>
        <v>0</v>
      </c>
    </row>
    <row r="130" spans="1:7" ht="16.149999999999999" customHeight="1" x14ac:dyDescent="0.25">
      <c r="A130" s="109">
        <f t="shared" ca="1" si="10"/>
        <v>49521</v>
      </c>
      <c r="B130" s="110">
        <f t="shared" ca="1" si="11"/>
        <v>0</v>
      </c>
      <c r="C130" s="115">
        <v>0</v>
      </c>
      <c r="D130" s="111">
        <f t="shared" ca="1" si="8"/>
        <v>0</v>
      </c>
      <c r="E130" s="111">
        <f t="shared" ca="1" si="9"/>
        <v>0</v>
      </c>
      <c r="F130" s="111">
        <f t="shared" ca="1" si="12"/>
        <v>0</v>
      </c>
      <c r="G130" s="112">
        <f ca="1">IF(ROUND(SUM(B130:C130,-F130),0)=0,0,IF($B$6="Yes",SUM($C$9:C130),SUM(B130:C130,-F130)))</f>
        <v>0</v>
      </c>
    </row>
    <row r="131" spans="1:7" ht="16.149999999999999" customHeight="1" x14ac:dyDescent="0.25">
      <c r="A131" s="109">
        <f t="shared" ca="1" si="10"/>
        <v>49552</v>
      </c>
      <c r="B131" s="110">
        <f t="shared" ca="1" si="11"/>
        <v>0</v>
      </c>
      <c r="C131" s="115">
        <v>0</v>
      </c>
      <c r="D131" s="111">
        <f t="shared" ca="1" si="8"/>
        <v>0</v>
      </c>
      <c r="E131" s="111">
        <f t="shared" ca="1" si="9"/>
        <v>0</v>
      </c>
      <c r="F131" s="111">
        <f t="shared" ca="1" si="12"/>
        <v>0</v>
      </c>
      <c r="G131" s="112">
        <f ca="1">IF(ROUND(SUM(B131:C131,-F131),0)=0,0,IF($B$6="Yes",SUM($C$9:C131),SUM(B131:C131,-F131)))</f>
        <v>0</v>
      </c>
    </row>
    <row r="132" spans="1:7" ht="16.149999999999999" customHeight="1" x14ac:dyDescent="0.25">
      <c r="A132" s="109">
        <f t="shared" ca="1" si="10"/>
        <v>49582</v>
      </c>
      <c r="B132" s="110">
        <f t="shared" ca="1" si="11"/>
        <v>0</v>
      </c>
      <c r="C132" s="115">
        <v>0</v>
      </c>
      <c r="D132" s="111">
        <f t="shared" ca="1" si="8"/>
        <v>0</v>
      </c>
      <c r="E132" s="111">
        <f t="shared" ca="1" si="9"/>
        <v>0</v>
      </c>
      <c r="F132" s="111">
        <f t="shared" ca="1" si="12"/>
        <v>0</v>
      </c>
      <c r="G132" s="112">
        <f ca="1">IF(ROUND(SUM(B132:C132,-F132),0)=0,0,IF($B$6="Yes",SUM($C$9:C132),SUM(B132:C132,-F132)))</f>
        <v>0</v>
      </c>
    </row>
    <row r="133" spans="1:7" ht="16.149999999999999" customHeight="1" x14ac:dyDescent="0.25">
      <c r="A133" s="109">
        <f t="shared" ca="1" si="10"/>
        <v>49613</v>
      </c>
      <c r="B133" s="110">
        <f t="shared" ca="1" si="11"/>
        <v>0</v>
      </c>
      <c r="C133" s="115">
        <v>0</v>
      </c>
      <c r="D133" s="111">
        <f t="shared" ca="1" si="8"/>
        <v>0</v>
      </c>
      <c r="E133" s="111">
        <f t="shared" ca="1" si="9"/>
        <v>0</v>
      </c>
      <c r="F133" s="111">
        <f t="shared" ca="1" si="12"/>
        <v>0</v>
      </c>
      <c r="G133" s="112">
        <f ca="1">IF(ROUND(SUM(B133:C133,-F133),0)=0,0,IF($B$6="Yes",SUM($C$9:C133),SUM(B133:C133,-F133)))</f>
        <v>0</v>
      </c>
    </row>
    <row r="134" spans="1:7" ht="16.149999999999999" customHeight="1" x14ac:dyDescent="0.25">
      <c r="A134" s="109">
        <f t="shared" ca="1" si="10"/>
        <v>49643</v>
      </c>
      <c r="B134" s="110">
        <f t="shared" ca="1" si="11"/>
        <v>0</v>
      </c>
      <c r="C134" s="115">
        <v>0</v>
      </c>
      <c r="D134" s="111">
        <f t="shared" ca="1" si="8"/>
        <v>0</v>
      </c>
      <c r="E134" s="111">
        <f t="shared" ca="1" si="9"/>
        <v>0</v>
      </c>
      <c r="F134" s="111">
        <f t="shared" ca="1" si="12"/>
        <v>0</v>
      </c>
      <c r="G134" s="112">
        <f ca="1">IF(ROUND(SUM(B134:C134,-F134),0)=0,0,IF($B$6="Yes",SUM($C$9:C134),SUM(B134:C134,-F134)))</f>
        <v>0</v>
      </c>
    </row>
    <row r="135" spans="1:7" ht="16.149999999999999" customHeight="1" x14ac:dyDescent="0.25">
      <c r="A135" s="109">
        <f t="shared" ca="1" si="10"/>
        <v>49674</v>
      </c>
      <c r="B135" s="110">
        <f t="shared" ca="1" si="11"/>
        <v>0</v>
      </c>
      <c r="C135" s="115">
        <v>0</v>
      </c>
      <c r="D135" s="111">
        <f t="shared" ca="1" si="8"/>
        <v>0</v>
      </c>
      <c r="E135" s="111">
        <f t="shared" ca="1" si="9"/>
        <v>0</v>
      </c>
      <c r="F135" s="111">
        <f t="shared" ca="1" si="12"/>
        <v>0</v>
      </c>
      <c r="G135" s="112">
        <f ca="1">IF(ROUND(SUM(B135:C135,-F135),0)=0,0,IF($B$6="Yes",SUM($C$9:C135),SUM(B135:C135,-F135)))</f>
        <v>0</v>
      </c>
    </row>
    <row r="136" spans="1:7" ht="16.149999999999999" customHeight="1" x14ac:dyDescent="0.25">
      <c r="A136" s="109">
        <f t="shared" ca="1" si="10"/>
        <v>49705</v>
      </c>
      <c r="B136" s="110">
        <f t="shared" ca="1" si="11"/>
        <v>0</v>
      </c>
      <c r="C136" s="115">
        <v>0</v>
      </c>
      <c r="D136" s="111">
        <f t="shared" ca="1" si="8"/>
        <v>0</v>
      </c>
      <c r="E136" s="111">
        <f t="shared" ca="1" si="9"/>
        <v>0</v>
      </c>
      <c r="F136" s="111">
        <f t="shared" ca="1" si="12"/>
        <v>0</v>
      </c>
      <c r="G136" s="112">
        <f ca="1">IF(ROUND(SUM(B136:C136,-F136),0)=0,0,IF($B$6="Yes",SUM($C$9:C136),SUM(B136:C136,-F136)))</f>
        <v>0</v>
      </c>
    </row>
    <row r="137" spans="1:7" ht="16.149999999999999" customHeight="1" x14ac:dyDescent="0.25">
      <c r="A137" s="109">
        <f t="shared" ca="1" si="10"/>
        <v>49734</v>
      </c>
      <c r="B137" s="110">
        <f t="shared" ca="1" si="11"/>
        <v>0</v>
      </c>
      <c r="C137" s="115">
        <v>0</v>
      </c>
      <c r="D137" s="111">
        <f t="shared" ca="1" si="8"/>
        <v>0</v>
      </c>
      <c r="E137" s="111">
        <f t="shared" ca="1" si="9"/>
        <v>0</v>
      </c>
      <c r="F137" s="111">
        <f t="shared" ca="1" si="12"/>
        <v>0</v>
      </c>
      <c r="G137" s="112">
        <f ca="1">IF(ROUND(SUM(B137:C137,-F137),0)=0,0,IF($B$6="Yes",SUM($C$9:C137),SUM(B137:C137,-F137)))</f>
        <v>0</v>
      </c>
    </row>
    <row r="138" spans="1:7" ht="16.149999999999999" customHeight="1" x14ac:dyDescent="0.25">
      <c r="A138" s="109">
        <f t="shared" ca="1" si="10"/>
        <v>49765</v>
      </c>
      <c r="B138" s="110">
        <f t="shared" ca="1" si="11"/>
        <v>0</v>
      </c>
      <c r="C138" s="115">
        <v>0</v>
      </c>
      <c r="D138" s="111">
        <f t="shared" ca="1" si="8"/>
        <v>0</v>
      </c>
      <c r="E138" s="111">
        <f t="shared" ca="1" si="9"/>
        <v>0</v>
      </c>
      <c r="F138" s="111">
        <f t="shared" ca="1" si="12"/>
        <v>0</v>
      </c>
      <c r="G138" s="112">
        <f ca="1">IF(ROUND(SUM(B138:C138,-F138),0)=0,0,IF($B$6="Yes",SUM($C$9:C138),SUM(B138:C138,-F138)))</f>
        <v>0</v>
      </c>
    </row>
    <row r="139" spans="1:7" ht="16.149999999999999" customHeight="1" x14ac:dyDescent="0.25">
      <c r="A139" s="109">
        <f t="shared" ca="1" si="10"/>
        <v>49795</v>
      </c>
      <c r="B139" s="110">
        <f t="shared" ca="1" si="11"/>
        <v>0</v>
      </c>
      <c r="C139" s="115">
        <v>0</v>
      </c>
      <c r="D139" s="111">
        <f t="shared" ref="D139:D165" ca="1" si="13">IF($B$6="Yes",0,IF(ROW(C139)-ROW($C$9)&gt;$B$5*12,-PMT($B$4/12,$B$5*12,SUM(OFFSET(C139,0,0,-$B$5*12,1)),0,0),-PMT($B$4/12,$B$5*12,SUM(OFFSET(C139,0,0,ROW($C$8)-ROW(C139),1)),0,0)))</f>
        <v>0</v>
      </c>
      <c r="E139" s="111">
        <f t="shared" ref="E139:E165" ca="1" si="14">(G138+C139)*$B$4/12</f>
        <v>0</v>
      </c>
      <c r="F139" s="111">
        <f t="shared" ca="1" si="12"/>
        <v>0</v>
      </c>
      <c r="G139" s="112">
        <f ca="1">IF(ROUND(SUM(B139:C139,-F139),0)=0,0,IF($B$6="Yes",SUM($C$9:C139),SUM(B139:C139,-F139)))</f>
        <v>0</v>
      </c>
    </row>
    <row r="140" spans="1:7" ht="16.149999999999999" customHeight="1" x14ac:dyDescent="0.25">
      <c r="A140" s="109">
        <f t="shared" ca="1" si="10"/>
        <v>49826</v>
      </c>
      <c r="B140" s="110">
        <f t="shared" ca="1" si="11"/>
        <v>0</v>
      </c>
      <c r="C140" s="115">
        <v>0</v>
      </c>
      <c r="D140" s="111">
        <f t="shared" ca="1" si="13"/>
        <v>0</v>
      </c>
      <c r="E140" s="111">
        <f t="shared" ca="1" si="14"/>
        <v>0</v>
      </c>
      <c r="F140" s="111">
        <f t="shared" ca="1" si="12"/>
        <v>0</v>
      </c>
      <c r="G140" s="112">
        <f ca="1">IF(ROUND(SUM(B140:C140,-F140),0)=0,0,IF($B$6="Yes",SUM($C$9:C140),SUM(B140:C140,-F140)))</f>
        <v>0</v>
      </c>
    </row>
    <row r="141" spans="1:7" ht="16.149999999999999" customHeight="1" x14ac:dyDescent="0.25">
      <c r="A141" s="109">
        <f t="shared" ca="1" si="10"/>
        <v>49856</v>
      </c>
      <c r="B141" s="110">
        <f t="shared" ca="1" si="11"/>
        <v>0</v>
      </c>
      <c r="C141" s="115">
        <v>0</v>
      </c>
      <c r="D141" s="111">
        <f t="shared" ca="1" si="13"/>
        <v>0</v>
      </c>
      <c r="E141" s="111">
        <f t="shared" ca="1" si="14"/>
        <v>0</v>
      </c>
      <c r="F141" s="111">
        <f t="shared" ca="1" si="12"/>
        <v>0</v>
      </c>
      <c r="G141" s="112">
        <f ca="1">IF(ROUND(SUM(B141:C141,-F141),0)=0,0,IF($B$6="Yes",SUM($C$9:C141),SUM(B141:C141,-F141)))</f>
        <v>0</v>
      </c>
    </row>
    <row r="142" spans="1:7" ht="16.149999999999999" customHeight="1" x14ac:dyDescent="0.25">
      <c r="A142" s="109">
        <f t="shared" ca="1" si="10"/>
        <v>49887</v>
      </c>
      <c r="B142" s="110">
        <f t="shared" ca="1" si="11"/>
        <v>0</v>
      </c>
      <c r="C142" s="115">
        <v>0</v>
      </c>
      <c r="D142" s="111">
        <f t="shared" ca="1" si="13"/>
        <v>0</v>
      </c>
      <c r="E142" s="111">
        <f t="shared" ca="1" si="14"/>
        <v>0</v>
      </c>
      <c r="F142" s="111">
        <f t="shared" ca="1" si="12"/>
        <v>0</v>
      </c>
      <c r="G142" s="112">
        <f ca="1">IF(ROUND(SUM(B142:C142,-F142),0)=0,0,IF($B$6="Yes",SUM($C$9:C142),SUM(B142:C142,-F142)))</f>
        <v>0</v>
      </c>
    </row>
    <row r="143" spans="1:7" ht="16.149999999999999" customHeight="1" x14ac:dyDescent="0.25">
      <c r="A143" s="109">
        <f t="shared" ca="1" si="10"/>
        <v>49918</v>
      </c>
      <c r="B143" s="110">
        <f t="shared" ca="1" si="11"/>
        <v>0</v>
      </c>
      <c r="C143" s="115">
        <v>0</v>
      </c>
      <c r="D143" s="111">
        <f t="shared" ca="1" si="13"/>
        <v>0</v>
      </c>
      <c r="E143" s="111">
        <f t="shared" ca="1" si="14"/>
        <v>0</v>
      </c>
      <c r="F143" s="111">
        <f t="shared" ca="1" si="12"/>
        <v>0</v>
      </c>
      <c r="G143" s="112">
        <f ca="1">IF(ROUND(SUM(B143:C143,-F143),0)=0,0,IF($B$6="Yes",SUM($C$9:C143),SUM(B143:C143,-F143)))</f>
        <v>0</v>
      </c>
    </row>
    <row r="144" spans="1:7" ht="16.149999999999999" customHeight="1" x14ac:dyDescent="0.25">
      <c r="A144" s="109">
        <f t="shared" ca="1" si="10"/>
        <v>49948</v>
      </c>
      <c r="B144" s="110">
        <f t="shared" ca="1" si="11"/>
        <v>0</v>
      </c>
      <c r="C144" s="115">
        <v>0</v>
      </c>
      <c r="D144" s="111">
        <f t="shared" ca="1" si="13"/>
        <v>0</v>
      </c>
      <c r="E144" s="111">
        <f t="shared" ca="1" si="14"/>
        <v>0</v>
      </c>
      <c r="F144" s="111">
        <f t="shared" ca="1" si="12"/>
        <v>0</v>
      </c>
      <c r="G144" s="112">
        <f ca="1">IF(ROUND(SUM(B144:C144,-F144),0)=0,0,IF($B$6="Yes",SUM($C$9:C144),SUM(B144:C144,-F144)))</f>
        <v>0</v>
      </c>
    </row>
    <row r="145" spans="1:7" ht="16.149999999999999" customHeight="1" x14ac:dyDescent="0.25">
      <c r="A145" s="109">
        <f t="shared" ca="1" si="10"/>
        <v>49979</v>
      </c>
      <c r="B145" s="110">
        <f t="shared" ca="1" si="11"/>
        <v>0</v>
      </c>
      <c r="C145" s="115">
        <v>0</v>
      </c>
      <c r="D145" s="111">
        <f t="shared" ca="1" si="13"/>
        <v>0</v>
      </c>
      <c r="E145" s="111">
        <f t="shared" ca="1" si="14"/>
        <v>0</v>
      </c>
      <c r="F145" s="111">
        <f t="shared" ca="1" si="12"/>
        <v>0</v>
      </c>
      <c r="G145" s="112">
        <f ca="1">IF(ROUND(SUM(B145:C145,-F145),0)=0,0,IF($B$6="Yes",SUM($C$9:C145),SUM(B145:C145,-F145)))</f>
        <v>0</v>
      </c>
    </row>
    <row r="146" spans="1:7" ht="16.149999999999999" customHeight="1" x14ac:dyDescent="0.25">
      <c r="A146" s="109">
        <f t="shared" ca="1" si="10"/>
        <v>50009</v>
      </c>
      <c r="B146" s="110">
        <f t="shared" ca="1" si="11"/>
        <v>0</v>
      </c>
      <c r="C146" s="115">
        <v>0</v>
      </c>
      <c r="D146" s="111">
        <f t="shared" ca="1" si="13"/>
        <v>0</v>
      </c>
      <c r="E146" s="111">
        <f t="shared" ca="1" si="14"/>
        <v>0</v>
      </c>
      <c r="F146" s="111">
        <f t="shared" ca="1" si="12"/>
        <v>0</v>
      </c>
      <c r="G146" s="112">
        <f ca="1">IF(ROUND(SUM(B146:C146,-F146),0)=0,0,IF($B$6="Yes",SUM($C$9:C146),SUM(B146:C146,-F146)))</f>
        <v>0</v>
      </c>
    </row>
    <row r="147" spans="1:7" ht="16.149999999999999" customHeight="1" x14ac:dyDescent="0.25">
      <c r="A147" s="109">
        <f t="shared" ca="1" si="10"/>
        <v>50040</v>
      </c>
      <c r="B147" s="110">
        <f t="shared" ca="1" si="11"/>
        <v>0</v>
      </c>
      <c r="C147" s="115">
        <v>0</v>
      </c>
      <c r="D147" s="111">
        <f t="shared" ca="1" si="13"/>
        <v>0</v>
      </c>
      <c r="E147" s="111">
        <f t="shared" ca="1" si="14"/>
        <v>0</v>
      </c>
      <c r="F147" s="111">
        <f t="shared" ca="1" si="12"/>
        <v>0</v>
      </c>
      <c r="G147" s="112">
        <f ca="1">IF(ROUND(SUM(B147:C147,-F147),0)=0,0,IF($B$6="Yes",SUM($C$9:C147),SUM(B147:C147,-F147)))</f>
        <v>0</v>
      </c>
    </row>
    <row r="148" spans="1:7" ht="16.149999999999999" customHeight="1" x14ac:dyDescent="0.25">
      <c r="A148" s="109">
        <f t="shared" ca="1" si="10"/>
        <v>50071</v>
      </c>
      <c r="B148" s="110">
        <f t="shared" ca="1" si="11"/>
        <v>0</v>
      </c>
      <c r="C148" s="115">
        <v>0</v>
      </c>
      <c r="D148" s="111">
        <f t="shared" ca="1" si="13"/>
        <v>0</v>
      </c>
      <c r="E148" s="111">
        <f t="shared" ca="1" si="14"/>
        <v>0</v>
      </c>
      <c r="F148" s="111">
        <f t="shared" ca="1" si="12"/>
        <v>0</v>
      </c>
      <c r="G148" s="112">
        <f ca="1">IF(ROUND(SUM(B148:C148,-F148),0)=0,0,IF($B$6="Yes",SUM($C$9:C148),SUM(B148:C148,-F148)))</f>
        <v>0</v>
      </c>
    </row>
    <row r="149" spans="1:7" ht="16.149999999999999" customHeight="1" x14ac:dyDescent="0.25">
      <c r="A149" s="109">
        <f t="shared" ca="1" si="10"/>
        <v>50099</v>
      </c>
      <c r="B149" s="110">
        <f t="shared" ca="1" si="11"/>
        <v>0</v>
      </c>
      <c r="C149" s="115">
        <v>0</v>
      </c>
      <c r="D149" s="111">
        <f t="shared" ca="1" si="13"/>
        <v>0</v>
      </c>
      <c r="E149" s="111">
        <f t="shared" ca="1" si="14"/>
        <v>0</v>
      </c>
      <c r="F149" s="111">
        <f t="shared" ca="1" si="12"/>
        <v>0</v>
      </c>
      <c r="G149" s="112">
        <f ca="1">IF(ROUND(SUM(B149:C149,-F149),0)=0,0,IF($B$6="Yes",SUM($C$9:C149),SUM(B149:C149,-F149)))</f>
        <v>0</v>
      </c>
    </row>
    <row r="150" spans="1:7" ht="16.149999999999999" customHeight="1" x14ac:dyDescent="0.25">
      <c r="A150" s="109">
        <f t="shared" ca="1" si="10"/>
        <v>50130</v>
      </c>
      <c r="B150" s="110">
        <f t="shared" ca="1" si="11"/>
        <v>0</v>
      </c>
      <c r="C150" s="115">
        <v>0</v>
      </c>
      <c r="D150" s="111">
        <f t="shared" ca="1" si="13"/>
        <v>0</v>
      </c>
      <c r="E150" s="111">
        <f t="shared" ca="1" si="14"/>
        <v>0</v>
      </c>
      <c r="F150" s="111">
        <f t="shared" ca="1" si="12"/>
        <v>0</v>
      </c>
      <c r="G150" s="112">
        <f ca="1">IF(ROUND(SUM(B150:C150,-F150),0)=0,0,IF($B$6="Yes",SUM($C$9:C150),SUM(B150:C150,-F150)))</f>
        <v>0</v>
      </c>
    </row>
    <row r="151" spans="1:7" ht="16.149999999999999" customHeight="1" x14ac:dyDescent="0.25">
      <c r="A151" s="109">
        <f t="shared" ca="1" si="10"/>
        <v>50160</v>
      </c>
      <c r="B151" s="110">
        <f t="shared" ca="1" si="11"/>
        <v>0</v>
      </c>
      <c r="C151" s="115">
        <v>0</v>
      </c>
      <c r="D151" s="111">
        <f t="shared" ca="1" si="13"/>
        <v>0</v>
      </c>
      <c r="E151" s="111">
        <f t="shared" ca="1" si="14"/>
        <v>0</v>
      </c>
      <c r="F151" s="111">
        <f t="shared" ca="1" si="12"/>
        <v>0</v>
      </c>
      <c r="G151" s="112">
        <f ca="1">IF(ROUND(SUM(B151:C151,-F151),0)=0,0,IF($B$6="Yes",SUM($C$9:C151),SUM(B151:C151,-F151)))</f>
        <v>0</v>
      </c>
    </row>
    <row r="152" spans="1:7" ht="16.149999999999999" customHeight="1" x14ac:dyDescent="0.25">
      <c r="A152" s="109">
        <f t="shared" ca="1" si="10"/>
        <v>50191</v>
      </c>
      <c r="B152" s="110">
        <f t="shared" ca="1" si="11"/>
        <v>0</v>
      </c>
      <c r="C152" s="115">
        <v>0</v>
      </c>
      <c r="D152" s="111">
        <f t="shared" ca="1" si="13"/>
        <v>0</v>
      </c>
      <c r="E152" s="111">
        <f t="shared" ca="1" si="14"/>
        <v>0</v>
      </c>
      <c r="F152" s="111">
        <f t="shared" ca="1" si="12"/>
        <v>0</v>
      </c>
      <c r="G152" s="112">
        <f ca="1">IF(ROUND(SUM(B152:C152,-F152),0)=0,0,IF($B$6="Yes",SUM($C$9:C152),SUM(B152:C152,-F152)))</f>
        <v>0</v>
      </c>
    </row>
    <row r="153" spans="1:7" ht="16.149999999999999" customHeight="1" x14ac:dyDescent="0.25">
      <c r="A153" s="109">
        <f t="shared" ca="1" si="10"/>
        <v>50221</v>
      </c>
      <c r="B153" s="110">
        <f t="shared" ca="1" si="11"/>
        <v>0</v>
      </c>
      <c r="C153" s="115">
        <v>0</v>
      </c>
      <c r="D153" s="111">
        <f t="shared" ca="1" si="13"/>
        <v>0</v>
      </c>
      <c r="E153" s="111">
        <f t="shared" ca="1" si="14"/>
        <v>0</v>
      </c>
      <c r="F153" s="111">
        <f t="shared" ca="1" si="12"/>
        <v>0</v>
      </c>
      <c r="G153" s="112">
        <f ca="1">IF(ROUND(SUM(B153:C153,-F153),0)=0,0,IF($B$6="Yes",SUM($C$9:C153),SUM(B153:C153,-F153)))</f>
        <v>0</v>
      </c>
    </row>
    <row r="154" spans="1:7" ht="16.149999999999999" customHeight="1" x14ac:dyDescent="0.25">
      <c r="A154" s="109">
        <f t="shared" ca="1" si="10"/>
        <v>50252</v>
      </c>
      <c r="B154" s="110">
        <f t="shared" ca="1" si="11"/>
        <v>0</v>
      </c>
      <c r="C154" s="115">
        <v>0</v>
      </c>
      <c r="D154" s="111">
        <f t="shared" ca="1" si="13"/>
        <v>0</v>
      </c>
      <c r="E154" s="111">
        <f t="shared" ca="1" si="14"/>
        <v>0</v>
      </c>
      <c r="F154" s="111">
        <f t="shared" ca="1" si="12"/>
        <v>0</v>
      </c>
      <c r="G154" s="112">
        <f ca="1">IF(ROUND(SUM(B154:C154,-F154),0)=0,0,IF($B$6="Yes",SUM($C$9:C154),SUM(B154:C154,-F154)))</f>
        <v>0</v>
      </c>
    </row>
    <row r="155" spans="1:7" ht="16.149999999999999" customHeight="1" x14ac:dyDescent="0.25">
      <c r="A155" s="109">
        <f t="shared" ca="1" si="10"/>
        <v>50283</v>
      </c>
      <c r="B155" s="110">
        <f t="shared" ca="1" si="11"/>
        <v>0</v>
      </c>
      <c r="C155" s="115">
        <v>0</v>
      </c>
      <c r="D155" s="111">
        <f t="shared" ca="1" si="13"/>
        <v>0</v>
      </c>
      <c r="E155" s="111">
        <f t="shared" ca="1" si="14"/>
        <v>0</v>
      </c>
      <c r="F155" s="111">
        <f t="shared" ca="1" si="12"/>
        <v>0</v>
      </c>
      <c r="G155" s="112">
        <f ca="1">IF(ROUND(SUM(B155:C155,-F155),0)=0,0,IF($B$6="Yes",SUM($C$9:C155),SUM(B155:C155,-F155)))</f>
        <v>0</v>
      </c>
    </row>
    <row r="156" spans="1:7" ht="16.149999999999999" customHeight="1" x14ac:dyDescent="0.25">
      <c r="A156" s="109">
        <f t="shared" ca="1" si="10"/>
        <v>50313</v>
      </c>
      <c r="B156" s="110">
        <f t="shared" ca="1" si="11"/>
        <v>0</v>
      </c>
      <c r="C156" s="115">
        <v>0</v>
      </c>
      <c r="D156" s="111">
        <f t="shared" ca="1" si="13"/>
        <v>0</v>
      </c>
      <c r="E156" s="111">
        <f t="shared" ca="1" si="14"/>
        <v>0</v>
      </c>
      <c r="F156" s="111">
        <f t="shared" ca="1" si="12"/>
        <v>0</v>
      </c>
      <c r="G156" s="112">
        <f ca="1">IF(ROUND(SUM(B156:C156,-F156),0)=0,0,IF($B$6="Yes",SUM($C$9:C156),SUM(B156:C156,-F156)))</f>
        <v>0</v>
      </c>
    </row>
    <row r="157" spans="1:7" ht="16.149999999999999" customHeight="1" x14ac:dyDescent="0.25">
      <c r="A157" s="109">
        <f t="shared" ca="1" si="10"/>
        <v>50344</v>
      </c>
      <c r="B157" s="110">
        <f t="shared" ca="1" si="11"/>
        <v>0</v>
      </c>
      <c r="C157" s="115">
        <v>0</v>
      </c>
      <c r="D157" s="111">
        <f t="shared" ca="1" si="13"/>
        <v>0</v>
      </c>
      <c r="E157" s="111">
        <f t="shared" ca="1" si="14"/>
        <v>0</v>
      </c>
      <c r="F157" s="111">
        <f t="shared" ca="1" si="12"/>
        <v>0</v>
      </c>
      <c r="G157" s="112">
        <f ca="1">IF(ROUND(SUM(B157:C157,-F157),0)=0,0,IF($B$6="Yes",SUM($C$9:C157),SUM(B157:C157,-F157)))</f>
        <v>0</v>
      </c>
    </row>
    <row r="158" spans="1:7" ht="16.149999999999999" customHeight="1" x14ac:dyDescent="0.25">
      <c r="A158" s="109">
        <f t="shared" ca="1" si="10"/>
        <v>50374</v>
      </c>
      <c r="B158" s="110">
        <f t="shared" ca="1" si="11"/>
        <v>0</v>
      </c>
      <c r="C158" s="115">
        <v>0</v>
      </c>
      <c r="D158" s="111">
        <f t="shared" ca="1" si="13"/>
        <v>0</v>
      </c>
      <c r="E158" s="111">
        <f t="shared" ca="1" si="14"/>
        <v>0</v>
      </c>
      <c r="F158" s="111">
        <f t="shared" ca="1" si="12"/>
        <v>0</v>
      </c>
      <c r="G158" s="112">
        <f ca="1">IF(ROUND(SUM(B158:C158,-F158),0)=0,0,IF($B$6="Yes",SUM($C$9:C158),SUM(B158:C158,-F158)))</f>
        <v>0</v>
      </c>
    </row>
    <row r="159" spans="1:7" ht="16.149999999999999" customHeight="1" x14ac:dyDescent="0.25">
      <c r="A159" s="109">
        <f t="shared" ca="1" si="10"/>
        <v>50405</v>
      </c>
      <c r="B159" s="110">
        <f t="shared" ca="1" si="11"/>
        <v>0</v>
      </c>
      <c r="C159" s="115">
        <v>0</v>
      </c>
      <c r="D159" s="111">
        <f t="shared" ca="1" si="13"/>
        <v>0</v>
      </c>
      <c r="E159" s="111">
        <f t="shared" ca="1" si="14"/>
        <v>0</v>
      </c>
      <c r="F159" s="111">
        <f t="shared" ca="1" si="12"/>
        <v>0</v>
      </c>
      <c r="G159" s="112">
        <f ca="1">IF(ROUND(SUM(B159:C159,-F159),0)=0,0,IF($B$6="Yes",SUM($C$9:C159),SUM(B159:C159,-F159)))</f>
        <v>0</v>
      </c>
    </row>
    <row r="160" spans="1:7" ht="16.149999999999999" customHeight="1" x14ac:dyDescent="0.25">
      <c r="A160" s="109">
        <f t="shared" ca="1" si="10"/>
        <v>50436</v>
      </c>
      <c r="B160" s="110">
        <f t="shared" ca="1" si="11"/>
        <v>0</v>
      </c>
      <c r="C160" s="115">
        <v>0</v>
      </c>
      <c r="D160" s="111">
        <f t="shared" ca="1" si="13"/>
        <v>0</v>
      </c>
      <c r="E160" s="111">
        <f t="shared" ca="1" si="14"/>
        <v>0</v>
      </c>
      <c r="F160" s="111">
        <f t="shared" ca="1" si="12"/>
        <v>0</v>
      </c>
      <c r="G160" s="112">
        <f ca="1">IF(ROUND(SUM(B160:C160,-F160),0)=0,0,IF($B$6="Yes",SUM($C$9:C160),SUM(B160:C160,-F160)))</f>
        <v>0</v>
      </c>
    </row>
    <row r="161" spans="1:7" ht="16.149999999999999" customHeight="1" x14ac:dyDescent="0.25">
      <c r="A161" s="109">
        <f t="shared" ca="1" si="10"/>
        <v>50464</v>
      </c>
      <c r="B161" s="110">
        <f t="shared" ca="1" si="11"/>
        <v>0</v>
      </c>
      <c r="C161" s="115">
        <v>0</v>
      </c>
      <c r="D161" s="111">
        <f t="shared" ca="1" si="13"/>
        <v>0</v>
      </c>
      <c r="E161" s="111">
        <f t="shared" ca="1" si="14"/>
        <v>0</v>
      </c>
      <c r="F161" s="111">
        <f t="shared" ca="1" si="12"/>
        <v>0</v>
      </c>
      <c r="G161" s="112">
        <f ca="1">IF(ROUND(SUM(B161:C161,-F161),0)=0,0,IF($B$6="Yes",SUM($C$9:C161),SUM(B161:C161,-F161)))</f>
        <v>0</v>
      </c>
    </row>
    <row r="162" spans="1:7" ht="16.149999999999999" customHeight="1" x14ac:dyDescent="0.25">
      <c r="A162" s="109">
        <f t="shared" ca="1" si="10"/>
        <v>50495</v>
      </c>
      <c r="B162" s="110">
        <f t="shared" ca="1" si="11"/>
        <v>0</v>
      </c>
      <c r="C162" s="115">
        <v>0</v>
      </c>
      <c r="D162" s="111">
        <f t="shared" ca="1" si="13"/>
        <v>0</v>
      </c>
      <c r="E162" s="111">
        <f t="shared" ca="1" si="14"/>
        <v>0</v>
      </c>
      <c r="F162" s="111">
        <f t="shared" ca="1" si="12"/>
        <v>0</v>
      </c>
      <c r="G162" s="112">
        <f ca="1">IF(ROUND(SUM(B162:C162,-F162),0)=0,0,IF($B$6="Yes",SUM($C$9:C162),SUM(B162:C162,-F162)))</f>
        <v>0</v>
      </c>
    </row>
    <row r="163" spans="1:7" ht="16.149999999999999" customHeight="1" x14ac:dyDescent="0.25">
      <c r="A163" s="109">
        <f t="shared" ca="1" si="10"/>
        <v>50525</v>
      </c>
      <c r="B163" s="110">
        <f t="shared" ca="1" si="11"/>
        <v>0</v>
      </c>
      <c r="C163" s="115">
        <v>0</v>
      </c>
      <c r="D163" s="111">
        <f t="shared" ca="1" si="13"/>
        <v>0</v>
      </c>
      <c r="E163" s="111">
        <f t="shared" ca="1" si="14"/>
        <v>0</v>
      </c>
      <c r="F163" s="111">
        <f t="shared" ca="1" si="12"/>
        <v>0</v>
      </c>
      <c r="G163" s="112">
        <f ca="1">IF(ROUND(SUM(B163:C163,-F163),0)=0,0,IF($B$6="Yes",SUM($C$9:C163),SUM(B163:C163,-F163)))</f>
        <v>0</v>
      </c>
    </row>
    <row r="164" spans="1:7" ht="16.149999999999999" customHeight="1" x14ac:dyDescent="0.25">
      <c r="A164" s="109">
        <f t="shared" ca="1" si="10"/>
        <v>50556</v>
      </c>
      <c r="B164" s="110">
        <f t="shared" ca="1" si="11"/>
        <v>0</v>
      </c>
      <c r="C164" s="115">
        <v>0</v>
      </c>
      <c r="D164" s="111">
        <f t="shared" ca="1" si="13"/>
        <v>0</v>
      </c>
      <c r="E164" s="111">
        <f t="shared" ca="1" si="14"/>
        <v>0</v>
      </c>
      <c r="F164" s="111">
        <f t="shared" ca="1" si="12"/>
        <v>0</v>
      </c>
      <c r="G164" s="112">
        <f ca="1">IF(ROUND(SUM(B164:C164,-F164),0)=0,0,IF($B$6="Yes",SUM($C$9:C164),SUM(B164:C164,-F164)))</f>
        <v>0</v>
      </c>
    </row>
    <row r="165" spans="1:7" ht="16.149999999999999" customHeight="1" x14ac:dyDescent="0.25">
      <c r="A165" s="109">
        <f t="shared" ca="1" si="10"/>
        <v>50586</v>
      </c>
      <c r="B165" s="110">
        <f t="shared" ca="1" si="11"/>
        <v>0</v>
      </c>
      <c r="C165" s="115">
        <v>0</v>
      </c>
      <c r="D165" s="111">
        <f t="shared" ca="1" si="13"/>
        <v>0</v>
      </c>
      <c r="E165" s="111">
        <f t="shared" ca="1" si="14"/>
        <v>0</v>
      </c>
      <c r="F165" s="111">
        <f t="shared" ca="1" si="12"/>
        <v>0</v>
      </c>
      <c r="G165" s="112">
        <f ca="1">IF(ROUND(SUM(B165:C165,-F165),0)=0,0,IF($B$6="Yes",SUM($C$9:C165),SUM(B165:C165,-F165)))</f>
        <v>0</v>
      </c>
    </row>
  </sheetData>
  <phoneticPr fontId="3" type="noConversion"/>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65"/>
  <sheetViews>
    <sheetView zoomScale="95" workbookViewId="0">
      <pane ySplit="8" topLeftCell="A9" activePane="bottomLeft" state="frozen"/>
      <selection pane="bottomLeft" activeCell="B5" sqref="B5"/>
    </sheetView>
  </sheetViews>
  <sheetFormatPr defaultColWidth="9.140625" defaultRowHeight="16.149999999999999" customHeight="1" x14ac:dyDescent="0.25"/>
  <cols>
    <col min="1" max="1" width="15.7109375" style="100" customWidth="1"/>
    <col min="2" max="7" width="13.7109375" style="11" customWidth="1"/>
    <col min="8" max="20" width="15.7109375" style="5" customWidth="1"/>
    <col min="21" max="16384" width="9.140625" style="5"/>
  </cols>
  <sheetData>
    <row r="1" spans="1:9" ht="16.149999999999999" customHeight="1" x14ac:dyDescent="0.25">
      <c r="A1" s="135" t="str">
        <f>IF(ISBLANK(Assumptions!$C$4),"Example Limited",Assumptions!$C$4)</f>
        <v>Maisha Transport Company Limited</v>
      </c>
      <c r="B1" s="3"/>
      <c r="C1" s="3"/>
      <c r="G1" s="99"/>
    </row>
    <row r="2" spans="1:9" ht="16.149999999999999" customHeight="1" x14ac:dyDescent="0.25">
      <c r="A2" s="6" t="s">
        <v>176</v>
      </c>
    </row>
    <row r="3" spans="1:9" ht="16.149999999999999" customHeight="1" x14ac:dyDescent="0.25">
      <c r="A3" s="6"/>
    </row>
    <row r="4" spans="1:9" ht="16.149999999999999" customHeight="1" x14ac:dyDescent="0.25">
      <c r="A4" s="100" t="s">
        <v>33</v>
      </c>
      <c r="B4" s="101">
        <f>Assumptions!$D$72</f>
        <v>0</v>
      </c>
      <c r="C4" s="102"/>
    </row>
    <row r="5" spans="1:9" ht="16.149999999999999" customHeight="1" x14ac:dyDescent="0.25">
      <c r="A5" s="100" t="s">
        <v>38</v>
      </c>
      <c r="B5" s="103">
        <f>Assumptions!$D$73</f>
        <v>5</v>
      </c>
      <c r="C5" s="104"/>
    </row>
    <row r="6" spans="1:9" ht="16.149999999999999" customHeight="1" x14ac:dyDescent="0.25">
      <c r="A6" s="100" t="s">
        <v>39</v>
      </c>
      <c r="B6" s="105" t="str">
        <f>Assumptions!$D$74</f>
        <v>No</v>
      </c>
      <c r="C6" s="106"/>
    </row>
    <row r="7" spans="1:9" ht="16.149999999999999" customHeight="1" x14ac:dyDescent="0.25">
      <c r="A7" s="30" t="s">
        <v>57</v>
      </c>
    </row>
    <row r="8" spans="1:9" s="81" customFormat="1" ht="25.5" x14ac:dyDescent="0.25">
      <c r="A8" s="107" t="s">
        <v>46</v>
      </c>
      <c r="B8" s="108" t="s">
        <v>43</v>
      </c>
      <c r="C8" s="108" t="s">
        <v>252</v>
      </c>
      <c r="D8" s="108" t="s">
        <v>42</v>
      </c>
      <c r="E8" s="108" t="s">
        <v>253</v>
      </c>
      <c r="F8" s="108" t="s">
        <v>56</v>
      </c>
      <c r="G8" s="108" t="s">
        <v>44</v>
      </c>
    </row>
    <row r="9" spans="1:9" s="113" customFormat="1" ht="16.149999999999999" customHeight="1" x14ac:dyDescent="0.25">
      <c r="A9" s="109">
        <f ca="1">IF(ISBLANK(Assumptions!$C$5)=TRUE,DATE(YEAR(TODAY()),MONTH(TODAY()),0),DATE(YEAR(Assumptions!$C$5),MONTH(Assumptions!$C$5),0))</f>
        <v>45838</v>
      </c>
      <c r="B9" s="110">
        <v>0</v>
      </c>
      <c r="C9" s="110">
        <f ca="1">-SUMIF(Assumptions!$A$76:$C$100,"LT2",Assumptions!$C$76:$C$100)</f>
        <v>0</v>
      </c>
      <c r="D9" s="110">
        <v>0</v>
      </c>
      <c r="E9" s="110">
        <v>0</v>
      </c>
      <c r="F9" s="111">
        <f>IF($B$6="Yes",0,D9-E9)</f>
        <v>0</v>
      </c>
      <c r="G9" s="112">
        <f ca="1">IF(ROUND(SUM(B9:C9,-F9),0)=0,0,IF($B$6="Yes",SUM($C$9:C9),SUM(B9:C9,-F9)))</f>
        <v>0</v>
      </c>
      <c r="I9" s="114"/>
    </row>
    <row r="10" spans="1:9" s="113" customFormat="1" ht="16.149999999999999" customHeight="1" x14ac:dyDescent="0.25">
      <c r="A10" s="109">
        <f ca="1">DATE(YEAR(A9),MONTH(A9)+2,0)</f>
        <v>45869</v>
      </c>
      <c r="B10" s="110">
        <f ca="1">G9</f>
        <v>0</v>
      </c>
      <c r="C10" s="115">
        <v>0</v>
      </c>
      <c r="D10" s="111">
        <f ca="1">IF($B$6="Yes",0,IF(ROW(C10)-ROW($C$9)&gt;$B$5*12,-PMT($B$4/12,$B$5*12,SUM(OFFSET(C10,0,0,-$B$5*12,1)),0,0),-PMT($B$4/12,$B$5*12,SUM(OFFSET(C10,0,0,ROW($C$8)-ROW(C10),1)),0,0)))</f>
        <v>0</v>
      </c>
      <c r="E10" s="111">
        <f ca="1">(G9+C10)*$B$4/12</f>
        <v>0</v>
      </c>
      <c r="F10" s="111">
        <f t="shared" ref="F10:F73" ca="1" si="0">IF($B$6="Yes",0,D10-E10)</f>
        <v>0</v>
      </c>
      <c r="G10" s="112">
        <f ca="1">IF(ROUND(SUM(B10:C10,-F10),0)=0,0,IF($B$6="Yes",SUM($C$9:C10),SUM(B10:C10,-F10)))</f>
        <v>0</v>
      </c>
      <c r="I10" s="114"/>
    </row>
    <row r="11" spans="1:9" s="113" customFormat="1" ht="16.149999999999999" customHeight="1" x14ac:dyDescent="0.25">
      <c r="A11" s="109">
        <f t="shared" ref="A11:A74" ca="1" si="1">DATE(YEAR(A10),MONTH(A10)+2,0)</f>
        <v>45900</v>
      </c>
      <c r="B11" s="110">
        <f t="shared" ref="B11:B74" ca="1" si="2">G10</f>
        <v>0</v>
      </c>
      <c r="C11" s="115">
        <v>0</v>
      </c>
      <c r="D11" s="111">
        <f t="shared" ref="D11:D74" ca="1" si="3">IF($B$6="Yes",0,IF(ROW(C11)-ROW($C$9)&gt;$B$5*12,-PMT($B$4/12,$B$5*12,SUM(OFFSET(C11,0,0,-$B$5*12,1)),0,0),-PMT($B$4/12,$B$5*12,SUM(OFFSET(C11,0,0,ROW($C$8)-ROW(C11),1)),0,0)))</f>
        <v>0</v>
      </c>
      <c r="E11" s="111">
        <f t="shared" ref="E11:E74" ca="1" si="4">(G10+C11)*$B$4/12</f>
        <v>0</v>
      </c>
      <c r="F11" s="111">
        <f t="shared" ca="1" si="0"/>
        <v>0</v>
      </c>
      <c r="G11" s="112">
        <f ca="1">IF(ROUND(SUM(B11:C11,-F11),0)=0,0,IF($B$6="Yes",SUM($C$9:C11),SUM(B11:C11,-F11)))</f>
        <v>0</v>
      </c>
    </row>
    <row r="12" spans="1:9" s="113" customFormat="1" ht="16.149999999999999" customHeight="1" x14ac:dyDescent="0.25">
      <c r="A12" s="109">
        <f t="shared" ca="1" si="1"/>
        <v>45930</v>
      </c>
      <c r="B12" s="110">
        <f t="shared" ca="1" si="2"/>
        <v>0</v>
      </c>
      <c r="C12" s="115">
        <v>0</v>
      </c>
      <c r="D12" s="111">
        <f t="shared" ca="1" si="3"/>
        <v>0</v>
      </c>
      <c r="E12" s="111">
        <f t="shared" ca="1" si="4"/>
        <v>0</v>
      </c>
      <c r="F12" s="111">
        <f t="shared" ca="1" si="0"/>
        <v>0</v>
      </c>
      <c r="G12" s="112">
        <f ca="1">IF(ROUND(SUM(B12:C12,-F12),0)=0,0,IF($B$6="Yes",SUM($C$9:C12),SUM(B12:C12,-F12)))</f>
        <v>0</v>
      </c>
    </row>
    <row r="13" spans="1:9" s="113" customFormat="1" ht="16.149999999999999" customHeight="1" x14ac:dyDescent="0.25">
      <c r="A13" s="109">
        <f t="shared" ca="1" si="1"/>
        <v>45961</v>
      </c>
      <c r="B13" s="110">
        <f t="shared" ca="1" si="2"/>
        <v>0</v>
      </c>
      <c r="C13" s="115">
        <v>0</v>
      </c>
      <c r="D13" s="111">
        <f t="shared" ca="1" si="3"/>
        <v>0</v>
      </c>
      <c r="E13" s="111">
        <f t="shared" ca="1" si="4"/>
        <v>0</v>
      </c>
      <c r="F13" s="111">
        <f t="shared" ca="1" si="0"/>
        <v>0</v>
      </c>
      <c r="G13" s="112">
        <f ca="1">IF(ROUND(SUM(B13:C13,-F13),0)=0,0,IF($B$6="Yes",SUM($C$9:C13),SUM(B13:C13,-F13)))</f>
        <v>0</v>
      </c>
    </row>
    <row r="14" spans="1:9" s="113" customFormat="1" ht="16.149999999999999" customHeight="1" x14ac:dyDescent="0.25">
      <c r="A14" s="109">
        <f t="shared" ca="1" si="1"/>
        <v>45991</v>
      </c>
      <c r="B14" s="110">
        <f t="shared" ca="1" si="2"/>
        <v>0</v>
      </c>
      <c r="C14" s="115">
        <v>0</v>
      </c>
      <c r="D14" s="111">
        <f t="shared" ca="1" si="3"/>
        <v>0</v>
      </c>
      <c r="E14" s="111">
        <f t="shared" ca="1" si="4"/>
        <v>0</v>
      </c>
      <c r="F14" s="111">
        <f t="shared" ca="1" si="0"/>
        <v>0</v>
      </c>
      <c r="G14" s="112">
        <f ca="1">IF(ROUND(SUM(B14:C14,-F14),0)=0,0,IF($B$6="Yes",SUM($C$9:C14),SUM(B14:C14,-F14)))</f>
        <v>0</v>
      </c>
    </row>
    <row r="15" spans="1:9" s="113" customFormat="1" ht="16.149999999999999" customHeight="1" x14ac:dyDescent="0.25">
      <c r="A15" s="109">
        <f t="shared" ca="1" si="1"/>
        <v>46022</v>
      </c>
      <c r="B15" s="110">
        <f t="shared" ca="1" si="2"/>
        <v>0</v>
      </c>
      <c r="C15" s="115">
        <v>0</v>
      </c>
      <c r="D15" s="111">
        <f t="shared" ca="1" si="3"/>
        <v>0</v>
      </c>
      <c r="E15" s="111">
        <f t="shared" ca="1" si="4"/>
        <v>0</v>
      </c>
      <c r="F15" s="111">
        <f t="shared" ca="1" si="0"/>
        <v>0</v>
      </c>
      <c r="G15" s="112">
        <f ca="1">IF(ROUND(SUM(B15:C15,-F15),0)=0,0,IF($B$6="Yes",SUM($C$9:C15),SUM(B15:C15,-F15)))</f>
        <v>0</v>
      </c>
    </row>
    <row r="16" spans="1:9" s="113" customFormat="1" ht="16.149999999999999" customHeight="1" x14ac:dyDescent="0.25">
      <c r="A16" s="109">
        <f t="shared" ca="1" si="1"/>
        <v>46053</v>
      </c>
      <c r="B16" s="110">
        <f t="shared" ca="1" si="2"/>
        <v>0</v>
      </c>
      <c r="C16" s="115">
        <v>0</v>
      </c>
      <c r="D16" s="111">
        <f t="shared" ca="1" si="3"/>
        <v>0</v>
      </c>
      <c r="E16" s="111">
        <f t="shared" ca="1" si="4"/>
        <v>0</v>
      </c>
      <c r="F16" s="111">
        <f t="shared" ca="1" si="0"/>
        <v>0</v>
      </c>
      <c r="G16" s="112">
        <f ca="1">IF(ROUND(SUM(B16:C16,-F16),0)=0,0,IF($B$6="Yes",SUM($C$9:C16),SUM(B16:C16,-F16)))</f>
        <v>0</v>
      </c>
    </row>
    <row r="17" spans="1:7" s="113" customFormat="1" ht="16.149999999999999" customHeight="1" x14ac:dyDescent="0.25">
      <c r="A17" s="109">
        <f t="shared" ca="1" si="1"/>
        <v>46081</v>
      </c>
      <c r="B17" s="110">
        <f t="shared" ca="1" si="2"/>
        <v>0</v>
      </c>
      <c r="C17" s="115">
        <v>0</v>
      </c>
      <c r="D17" s="111">
        <f t="shared" ca="1" si="3"/>
        <v>0</v>
      </c>
      <c r="E17" s="111">
        <f t="shared" ca="1" si="4"/>
        <v>0</v>
      </c>
      <c r="F17" s="111">
        <f t="shared" ca="1" si="0"/>
        <v>0</v>
      </c>
      <c r="G17" s="112">
        <f ca="1">IF(ROUND(SUM(B17:C17,-F17),0)=0,0,IF($B$6="Yes",SUM($C$9:C17),SUM(B17:C17,-F17)))</f>
        <v>0</v>
      </c>
    </row>
    <row r="18" spans="1:7" s="113" customFormat="1" ht="16.149999999999999" customHeight="1" x14ac:dyDescent="0.25">
      <c r="A18" s="109">
        <f t="shared" ca="1" si="1"/>
        <v>46112</v>
      </c>
      <c r="B18" s="110">
        <f t="shared" ca="1" si="2"/>
        <v>0</v>
      </c>
      <c r="C18" s="115">
        <v>0</v>
      </c>
      <c r="D18" s="111">
        <f t="shared" ca="1" si="3"/>
        <v>0</v>
      </c>
      <c r="E18" s="111">
        <f t="shared" ca="1" si="4"/>
        <v>0</v>
      </c>
      <c r="F18" s="111">
        <f t="shared" ca="1" si="0"/>
        <v>0</v>
      </c>
      <c r="G18" s="112">
        <f ca="1">IF(ROUND(SUM(B18:C18,-F18),0)=0,0,IF($B$6="Yes",SUM($C$9:C18),SUM(B18:C18,-F18)))</f>
        <v>0</v>
      </c>
    </row>
    <row r="19" spans="1:7" s="113" customFormat="1" ht="16.149999999999999" customHeight="1" x14ac:dyDescent="0.25">
      <c r="A19" s="109">
        <f t="shared" ca="1" si="1"/>
        <v>46142</v>
      </c>
      <c r="B19" s="110">
        <f t="shared" ca="1" si="2"/>
        <v>0</v>
      </c>
      <c r="C19" s="115">
        <v>0</v>
      </c>
      <c r="D19" s="111">
        <f t="shared" ca="1" si="3"/>
        <v>0</v>
      </c>
      <c r="E19" s="111">
        <f t="shared" ca="1" si="4"/>
        <v>0</v>
      </c>
      <c r="F19" s="111">
        <f t="shared" ca="1" si="0"/>
        <v>0</v>
      </c>
      <c r="G19" s="112">
        <f ca="1">IF(ROUND(SUM(B19:C19,-F19),0)=0,0,IF($B$6="Yes",SUM($C$9:C19),SUM(B19:C19,-F19)))</f>
        <v>0</v>
      </c>
    </row>
    <row r="20" spans="1:7" ht="16.149999999999999" customHeight="1" x14ac:dyDescent="0.25">
      <c r="A20" s="109">
        <f t="shared" ca="1" si="1"/>
        <v>46173</v>
      </c>
      <c r="B20" s="110">
        <f t="shared" ca="1" si="2"/>
        <v>0</v>
      </c>
      <c r="C20" s="115">
        <v>0</v>
      </c>
      <c r="D20" s="111">
        <f t="shared" ca="1" si="3"/>
        <v>0</v>
      </c>
      <c r="E20" s="111">
        <f t="shared" ca="1" si="4"/>
        <v>0</v>
      </c>
      <c r="F20" s="111">
        <f t="shared" ca="1" si="0"/>
        <v>0</v>
      </c>
      <c r="G20" s="112">
        <f ca="1">IF(ROUND(SUM(B20:C20,-F20),0)=0,0,IF($B$6="Yes",SUM($C$9:C20),SUM(B20:C20,-F20)))</f>
        <v>0</v>
      </c>
    </row>
    <row r="21" spans="1:7" ht="16.149999999999999" customHeight="1" x14ac:dyDescent="0.25">
      <c r="A21" s="109">
        <f t="shared" ca="1" si="1"/>
        <v>46203</v>
      </c>
      <c r="B21" s="110">
        <f t="shared" ca="1" si="2"/>
        <v>0</v>
      </c>
      <c r="C21" s="115">
        <v>0</v>
      </c>
      <c r="D21" s="111">
        <f t="shared" ca="1" si="3"/>
        <v>0</v>
      </c>
      <c r="E21" s="111">
        <f t="shared" ca="1" si="4"/>
        <v>0</v>
      </c>
      <c r="F21" s="111">
        <f t="shared" ca="1" si="0"/>
        <v>0</v>
      </c>
      <c r="G21" s="112">
        <f ca="1">IF(ROUND(SUM(B21:C21,-F21),0)=0,0,IF($B$6="Yes",SUM($C$9:C21),SUM(B21:C21,-F21)))</f>
        <v>0</v>
      </c>
    </row>
    <row r="22" spans="1:7" ht="16.149999999999999" customHeight="1" x14ac:dyDescent="0.25">
      <c r="A22" s="109">
        <f t="shared" ca="1" si="1"/>
        <v>46234</v>
      </c>
      <c r="B22" s="110">
        <f t="shared" ca="1" si="2"/>
        <v>0</v>
      </c>
      <c r="C22" s="115">
        <v>0</v>
      </c>
      <c r="D22" s="111">
        <f t="shared" ca="1" si="3"/>
        <v>0</v>
      </c>
      <c r="E22" s="111">
        <f t="shared" ca="1" si="4"/>
        <v>0</v>
      </c>
      <c r="F22" s="111">
        <f t="shared" ca="1" si="0"/>
        <v>0</v>
      </c>
      <c r="G22" s="112">
        <f ca="1">IF(ROUND(SUM(B22:C22,-F22),0)=0,0,IF($B$6="Yes",SUM($C$9:C22),SUM(B22:C22,-F22)))</f>
        <v>0</v>
      </c>
    </row>
    <row r="23" spans="1:7" s="64" customFormat="1" ht="16.149999999999999" customHeight="1" x14ac:dyDescent="0.25">
      <c r="A23" s="109">
        <f t="shared" ca="1" si="1"/>
        <v>46265</v>
      </c>
      <c r="B23" s="110">
        <f t="shared" ca="1" si="2"/>
        <v>0</v>
      </c>
      <c r="C23" s="115">
        <v>0</v>
      </c>
      <c r="D23" s="111">
        <f t="shared" ca="1" si="3"/>
        <v>0</v>
      </c>
      <c r="E23" s="111">
        <f t="shared" ca="1" si="4"/>
        <v>0</v>
      </c>
      <c r="F23" s="111">
        <f t="shared" ca="1" si="0"/>
        <v>0</v>
      </c>
      <c r="G23" s="112">
        <f ca="1">IF(ROUND(SUM(B23:C23,-F23),0)=0,0,IF($B$6="Yes",SUM($C$9:C23),SUM(B23:C23,-F23)))</f>
        <v>0</v>
      </c>
    </row>
    <row r="24" spans="1:7" ht="16.149999999999999" customHeight="1" x14ac:dyDescent="0.25">
      <c r="A24" s="109">
        <f t="shared" ca="1" si="1"/>
        <v>46295</v>
      </c>
      <c r="B24" s="110">
        <f t="shared" ca="1" si="2"/>
        <v>0</v>
      </c>
      <c r="C24" s="115">
        <v>0</v>
      </c>
      <c r="D24" s="111">
        <f t="shared" ca="1" si="3"/>
        <v>0</v>
      </c>
      <c r="E24" s="111">
        <f t="shared" ca="1" si="4"/>
        <v>0</v>
      </c>
      <c r="F24" s="111">
        <f t="shared" ca="1" si="0"/>
        <v>0</v>
      </c>
      <c r="G24" s="112">
        <f ca="1">IF(ROUND(SUM(B24:C24,-F24),0)=0,0,IF($B$6="Yes",SUM($C$9:C24),SUM(B24:C24,-F24)))</f>
        <v>0</v>
      </c>
    </row>
    <row r="25" spans="1:7" ht="16.149999999999999" customHeight="1" x14ac:dyDescent="0.25">
      <c r="A25" s="109">
        <f t="shared" ca="1" si="1"/>
        <v>46326</v>
      </c>
      <c r="B25" s="110">
        <f t="shared" ca="1" si="2"/>
        <v>0</v>
      </c>
      <c r="C25" s="115">
        <v>0</v>
      </c>
      <c r="D25" s="111">
        <f t="shared" ca="1" si="3"/>
        <v>0</v>
      </c>
      <c r="E25" s="111">
        <f t="shared" ca="1" si="4"/>
        <v>0</v>
      </c>
      <c r="F25" s="111">
        <f t="shared" ca="1" si="0"/>
        <v>0</v>
      </c>
      <c r="G25" s="112">
        <f ca="1">IF(ROUND(SUM(B25:C25,-F25),0)=0,0,IF($B$6="Yes",SUM($C$9:C25),SUM(B25:C25,-F25)))</f>
        <v>0</v>
      </c>
    </row>
    <row r="26" spans="1:7" ht="16.149999999999999" customHeight="1" x14ac:dyDescent="0.25">
      <c r="A26" s="109">
        <f t="shared" ca="1" si="1"/>
        <v>46356</v>
      </c>
      <c r="B26" s="110">
        <f t="shared" ca="1" si="2"/>
        <v>0</v>
      </c>
      <c r="C26" s="115">
        <v>0</v>
      </c>
      <c r="D26" s="111">
        <f t="shared" ca="1" si="3"/>
        <v>0</v>
      </c>
      <c r="E26" s="111">
        <f t="shared" ca="1" si="4"/>
        <v>0</v>
      </c>
      <c r="F26" s="111">
        <f t="shared" ca="1" si="0"/>
        <v>0</v>
      </c>
      <c r="G26" s="112">
        <f ca="1">IF(ROUND(SUM(B26:C26,-F26),0)=0,0,IF($B$6="Yes",SUM($C$9:C26),SUM(B26:C26,-F26)))</f>
        <v>0</v>
      </c>
    </row>
    <row r="27" spans="1:7" ht="16.149999999999999" customHeight="1" x14ac:dyDescent="0.25">
      <c r="A27" s="109">
        <f t="shared" ca="1" si="1"/>
        <v>46387</v>
      </c>
      <c r="B27" s="110">
        <f t="shared" ca="1" si="2"/>
        <v>0</v>
      </c>
      <c r="C27" s="115">
        <v>0</v>
      </c>
      <c r="D27" s="111">
        <f t="shared" ca="1" si="3"/>
        <v>0</v>
      </c>
      <c r="E27" s="111">
        <f t="shared" ca="1" si="4"/>
        <v>0</v>
      </c>
      <c r="F27" s="111">
        <f t="shared" ca="1" si="0"/>
        <v>0</v>
      </c>
      <c r="G27" s="112">
        <f ca="1">IF(ROUND(SUM(B27:C27,-F27),0)=0,0,IF($B$6="Yes",SUM($C$9:C27),SUM(B27:C27,-F27)))</f>
        <v>0</v>
      </c>
    </row>
    <row r="28" spans="1:7" ht="16.149999999999999" customHeight="1" x14ac:dyDescent="0.25">
      <c r="A28" s="109">
        <f t="shared" ca="1" si="1"/>
        <v>46418</v>
      </c>
      <c r="B28" s="110">
        <f t="shared" ca="1" si="2"/>
        <v>0</v>
      </c>
      <c r="C28" s="115">
        <v>0</v>
      </c>
      <c r="D28" s="111">
        <f t="shared" ca="1" si="3"/>
        <v>0</v>
      </c>
      <c r="E28" s="111">
        <f t="shared" ca="1" si="4"/>
        <v>0</v>
      </c>
      <c r="F28" s="111">
        <f t="shared" ca="1" si="0"/>
        <v>0</v>
      </c>
      <c r="G28" s="112">
        <f ca="1">IF(ROUND(SUM(B28:C28,-F28),0)=0,0,IF($B$6="Yes",SUM($C$9:C28),SUM(B28:C28,-F28)))</f>
        <v>0</v>
      </c>
    </row>
    <row r="29" spans="1:7" ht="16.149999999999999" customHeight="1" x14ac:dyDescent="0.25">
      <c r="A29" s="109">
        <f t="shared" ca="1" si="1"/>
        <v>46446</v>
      </c>
      <c r="B29" s="110">
        <f t="shared" ca="1" si="2"/>
        <v>0</v>
      </c>
      <c r="C29" s="115">
        <v>0</v>
      </c>
      <c r="D29" s="111">
        <f t="shared" ca="1" si="3"/>
        <v>0</v>
      </c>
      <c r="E29" s="111">
        <f t="shared" ca="1" si="4"/>
        <v>0</v>
      </c>
      <c r="F29" s="111">
        <f t="shared" ca="1" si="0"/>
        <v>0</v>
      </c>
      <c r="G29" s="112">
        <f ca="1">IF(ROUND(SUM(B29:C29,-F29),0)=0,0,IF($B$6="Yes",SUM($C$9:C29),SUM(B29:C29,-F29)))</f>
        <v>0</v>
      </c>
    </row>
    <row r="30" spans="1:7" ht="16.149999999999999" customHeight="1" x14ac:dyDescent="0.25">
      <c r="A30" s="109">
        <f t="shared" ca="1" si="1"/>
        <v>46477</v>
      </c>
      <c r="B30" s="110">
        <f t="shared" ca="1" si="2"/>
        <v>0</v>
      </c>
      <c r="C30" s="115">
        <v>0</v>
      </c>
      <c r="D30" s="111">
        <f t="shared" ca="1" si="3"/>
        <v>0</v>
      </c>
      <c r="E30" s="111">
        <f t="shared" ca="1" si="4"/>
        <v>0</v>
      </c>
      <c r="F30" s="111">
        <f t="shared" ca="1" si="0"/>
        <v>0</v>
      </c>
      <c r="G30" s="112">
        <f ca="1">IF(ROUND(SUM(B30:C30,-F30),0)=0,0,IF($B$6="Yes",SUM($C$9:C30),SUM(B30:C30,-F30)))</f>
        <v>0</v>
      </c>
    </row>
    <row r="31" spans="1:7" ht="16.149999999999999" customHeight="1" x14ac:dyDescent="0.25">
      <c r="A31" s="109">
        <f t="shared" ca="1" si="1"/>
        <v>46507</v>
      </c>
      <c r="B31" s="110">
        <f t="shared" ca="1" si="2"/>
        <v>0</v>
      </c>
      <c r="C31" s="115">
        <v>0</v>
      </c>
      <c r="D31" s="111">
        <f t="shared" ca="1" si="3"/>
        <v>0</v>
      </c>
      <c r="E31" s="111">
        <f t="shared" ca="1" si="4"/>
        <v>0</v>
      </c>
      <c r="F31" s="111">
        <f t="shared" ca="1" si="0"/>
        <v>0</v>
      </c>
      <c r="G31" s="112">
        <f ca="1">IF(ROUND(SUM(B31:C31,-F31),0)=0,0,IF($B$6="Yes",SUM($C$9:C31),SUM(B31:C31,-F31)))</f>
        <v>0</v>
      </c>
    </row>
    <row r="32" spans="1:7" ht="16.149999999999999" customHeight="1" x14ac:dyDescent="0.25">
      <c r="A32" s="109">
        <f t="shared" ca="1" si="1"/>
        <v>46538</v>
      </c>
      <c r="B32" s="110">
        <f t="shared" ca="1" si="2"/>
        <v>0</v>
      </c>
      <c r="C32" s="115">
        <v>0</v>
      </c>
      <c r="D32" s="111">
        <f t="shared" ca="1" si="3"/>
        <v>0</v>
      </c>
      <c r="E32" s="111">
        <f t="shared" ca="1" si="4"/>
        <v>0</v>
      </c>
      <c r="F32" s="111">
        <f t="shared" ca="1" si="0"/>
        <v>0</v>
      </c>
      <c r="G32" s="112">
        <f ca="1">IF(ROUND(SUM(B32:C32,-F32),0)=0,0,IF($B$6="Yes",SUM($C$9:C32),SUM(B32:C32,-F32)))</f>
        <v>0</v>
      </c>
    </row>
    <row r="33" spans="1:7" ht="16.149999999999999" customHeight="1" x14ac:dyDescent="0.25">
      <c r="A33" s="109">
        <f t="shared" ca="1" si="1"/>
        <v>46568</v>
      </c>
      <c r="B33" s="110">
        <f t="shared" ca="1" si="2"/>
        <v>0</v>
      </c>
      <c r="C33" s="115">
        <v>0</v>
      </c>
      <c r="D33" s="111">
        <f t="shared" ca="1" si="3"/>
        <v>0</v>
      </c>
      <c r="E33" s="111">
        <f t="shared" ca="1" si="4"/>
        <v>0</v>
      </c>
      <c r="F33" s="111">
        <f t="shared" ca="1" si="0"/>
        <v>0</v>
      </c>
      <c r="G33" s="112">
        <f ca="1">IF(ROUND(SUM(B33:C33,-F33),0)=0,0,IF($B$6="Yes",SUM($C$9:C33),SUM(B33:C33,-F33)))</f>
        <v>0</v>
      </c>
    </row>
    <row r="34" spans="1:7" ht="16.149999999999999" customHeight="1" x14ac:dyDescent="0.25">
      <c r="A34" s="109">
        <f t="shared" ca="1" si="1"/>
        <v>46599</v>
      </c>
      <c r="B34" s="110">
        <f t="shared" ca="1" si="2"/>
        <v>0</v>
      </c>
      <c r="C34" s="115">
        <v>0</v>
      </c>
      <c r="D34" s="111">
        <f t="shared" ca="1" si="3"/>
        <v>0</v>
      </c>
      <c r="E34" s="111">
        <f t="shared" ca="1" si="4"/>
        <v>0</v>
      </c>
      <c r="F34" s="111">
        <f t="shared" ca="1" si="0"/>
        <v>0</v>
      </c>
      <c r="G34" s="112">
        <f ca="1">IF(ROUND(SUM(B34:C34,-F34),0)=0,0,IF($B$6="Yes",SUM($C$9:C34),SUM(B34:C34,-F34)))</f>
        <v>0</v>
      </c>
    </row>
    <row r="35" spans="1:7" ht="16.149999999999999" customHeight="1" x14ac:dyDescent="0.25">
      <c r="A35" s="109">
        <f t="shared" ca="1" si="1"/>
        <v>46630</v>
      </c>
      <c r="B35" s="110">
        <f t="shared" ca="1" si="2"/>
        <v>0</v>
      </c>
      <c r="C35" s="115">
        <v>0</v>
      </c>
      <c r="D35" s="111">
        <f t="shared" ca="1" si="3"/>
        <v>0</v>
      </c>
      <c r="E35" s="111">
        <f t="shared" ca="1" si="4"/>
        <v>0</v>
      </c>
      <c r="F35" s="111">
        <f t="shared" ca="1" si="0"/>
        <v>0</v>
      </c>
      <c r="G35" s="112">
        <f ca="1">IF(ROUND(SUM(B35:C35,-F35),0)=0,0,IF($B$6="Yes",SUM($C$9:C35),SUM(B35:C35,-F35)))</f>
        <v>0</v>
      </c>
    </row>
    <row r="36" spans="1:7" ht="16.149999999999999" customHeight="1" x14ac:dyDescent="0.25">
      <c r="A36" s="109">
        <f t="shared" ca="1" si="1"/>
        <v>46660</v>
      </c>
      <c r="B36" s="110">
        <f t="shared" ca="1" si="2"/>
        <v>0</v>
      </c>
      <c r="C36" s="115">
        <v>0</v>
      </c>
      <c r="D36" s="111">
        <f t="shared" ca="1" si="3"/>
        <v>0</v>
      </c>
      <c r="E36" s="111">
        <f t="shared" ca="1" si="4"/>
        <v>0</v>
      </c>
      <c r="F36" s="111">
        <f t="shared" ca="1" si="0"/>
        <v>0</v>
      </c>
      <c r="G36" s="112">
        <f ca="1">IF(ROUND(SUM(B36:C36,-F36),0)=0,0,IF($B$6="Yes",SUM($C$9:C36),SUM(B36:C36,-F36)))</f>
        <v>0</v>
      </c>
    </row>
    <row r="37" spans="1:7" ht="16.149999999999999" customHeight="1" x14ac:dyDescent="0.25">
      <c r="A37" s="109">
        <f t="shared" ca="1" si="1"/>
        <v>46691</v>
      </c>
      <c r="B37" s="110">
        <f t="shared" ca="1" si="2"/>
        <v>0</v>
      </c>
      <c r="C37" s="115">
        <v>0</v>
      </c>
      <c r="D37" s="111">
        <f t="shared" ca="1" si="3"/>
        <v>0</v>
      </c>
      <c r="E37" s="111">
        <f t="shared" ca="1" si="4"/>
        <v>0</v>
      </c>
      <c r="F37" s="111">
        <f t="shared" ca="1" si="0"/>
        <v>0</v>
      </c>
      <c r="G37" s="112">
        <f ca="1">IF(ROUND(SUM(B37:C37,-F37),0)=0,0,IF($B$6="Yes",SUM($C$9:C37),SUM(B37:C37,-F37)))</f>
        <v>0</v>
      </c>
    </row>
    <row r="38" spans="1:7" ht="16.149999999999999" customHeight="1" x14ac:dyDescent="0.25">
      <c r="A38" s="109">
        <f t="shared" ca="1" si="1"/>
        <v>46721</v>
      </c>
      <c r="B38" s="110">
        <f t="shared" ca="1" si="2"/>
        <v>0</v>
      </c>
      <c r="C38" s="115">
        <v>0</v>
      </c>
      <c r="D38" s="111">
        <f t="shared" ca="1" si="3"/>
        <v>0</v>
      </c>
      <c r="E38" s="111">
        <f t="shared" ca="1" si="4"/>
        <v>0</v>
      </c>
      <c r="F38" s="111">
        <f t="shared" ca="1" si="0"/>
        <v>0</v>
      </c>
      <c r="G38" s="112">
        <f ca="1">IF(ROUND(SUM(B38:C38,-F38),0)=0,0,IF($B$6="Yes",SUM($C$9:C38),SUM(B38:C38,-F38)))</f>
        <v>0</v>
      </c>
    </row>
    <row r="39" spans="1:7" ht="16.149999999999999" customHeight="1" x14ac:dyDescent="0.25">
      <c r="A39" s="109">
        <f t="shared" ca="1" si="1"/>
        <v>46752</v>
      </c>
      <c r="B39" s="110">
        <f t="shared" ca="1" si="2"/>
        <v>0</v>
      </c>
      <c r="C39" s="115">
        <v>0</v>
      </c>
      <c r="D39" s="111">
        <f t="shared" ca="1" si="3"/>
        <v>0</v>
      </c>
      <c r="E39" s="111">
        <f t="shared" ca="1" si="4"/>
        <v>0</v>
      </c>
      <c r="F39" s="111">
        <f t="shared" ca="1" si="0"/>
        <v>0</v>
      </c>
      <c r="G39" s="112">
        <f ca="1">IF(ROUND(SUM(B39:C39,-F39),0)=0,0,IF($B$6="Yes",SUM($C$9:C39),SUM(B39:C39,-F39)))</f>
        <v>0</v>
      </c>
    </row>
    <row r="40" spans="1:7" ht="16.149999999999999" customHeight="1" x14ac:dyDescent="0.25">
      <c r="A40" s="109">
        <f t="shared" ca="1" si="1"/>
        <v>46783</v>
      </c>
      <c r="B40" s="110">
        <f t="shared" ca="1" si="2"/>
        <v>0</v>
      </c>
      <c r="C40" s="115">
        <v>0</v>
      </c>
      <c r="D40" s="111">
        <f t="shared" ca="1" si="3"/>
        <v>0</v>
      </c>
      <c r="E40" s="111">
        <f t="shared" ca="1" si="4"/>
        <v>0</v>
      </c>
      <c r="F40" s="111">
        <f t="shared" ca="1" si="0"/>
        <v>0</v>
      </c>
      <c r="G40" s="112">
        <f ca="1">IF(ROUND(SUM(B40:C40,-F40),0)=0,0,IF($B$6="Yes",SUM($C$9:C40),SUM(B40:C40,-F40)))</f>
        <v>0</v>
      </c>
    </row>
    <row r="41" spans="1:7" ht="16.149999999999999" customHeight="1" x14ac:dyDescent="0.25">
      <c r="A41" s="109">
        <f t="shared" ca="1" si="1"/>
        <v>46812</v>
      </c>
      <c r="B41" s="110">
        <f t="shared" ca="1" si="2"/>
        <v>0</v>
      </c>
      <c r="C41" s="115">
        <v>0</v>
      </c>
      <c r="D41" s="111">
        <f t="shared" ca="1" si="3"/>
        <v>0</v>
      </c>
      <c r="E41" s="111">
        <f t="shared" ca="1" si="4"/>
        <v>0</v>
      </c>
      <c r="F41" s="111">
        <f t="shared" ca="1" si="0"/>
        <v>0</v>
      </c>
      <c r="G41" s="112">
        <f ca="1">IF(ROUND(SUM(B41:C41,-F41),0)=0,0,IF($B$6="Yes",SUM($C$9:C41),SUM(B41:C41,-F41)))</f>
        <v>0</v>
      </c>
    </row>
    <row r="42" spans="1:7" ht="16.149999999999999" customHeight="1" x14ac:dyDescent="0.25">
      <c r="A42" s="109">
        <f t="shared" ca="1" si="1"/>
        <v>46843</v>
      </c>
      <c r="B42" s="110">
        <f t="shared" ca="1" si="2"/>
        <v>0</v>
      </c>
      <c r="C42" s="115">
        <v>0</v>
      </c>
      <c r="D42" s="111">
        <f t="shared" ca="1" si="3"/>
        <v>0</v>
      </c>
      <c r="E42" s="111">
        <f t="shared" ca="1" si="4"/>
        <v>0</v>
      </c>
      <c r="F42" s="111">
        <f t="shared" ca="1" si="0"/>
        <v>0</v>
      </c>
      <c r="G42" s="112">
        <f ca="1">IF(ROUND(SUM(B42:C42,-F42),0)=0,0,IF($B$6="Yes",SUM($C$9:C42),SUM(B42:C42,-F42)))</f>
        <v>0</v>
      </c>
    </row>
    <row r="43" spans="1:7" ht="16.149999999999999" customHeight="1" x14ac:dyDescent="0.25">
      <c r="A43" s="109">
        <f t="shared" ca="1" si="1"/>
        <v>46873</v>
      </c>
      <c r="B43" s="110">
        <f t="shared" ca="1" si="2"/>
        <v>0</v>
      </c>
      <c r="C43" s="115">
        <v>0</v>
      </c>
      <c r="D43" s="111">
        <f t="shared" ca="1" si="3"/>
        <v>0</v>
      </c>
      <c r="E43" s="111">
        <f t="shared" ca="1" si="4"/>
        <v>0</v>
      </c>
      <c r="F43" s="111">
        <f t="shared" ca="1" si="0"/>
        <v>0</v>
      </c>
      <c r="G43" s="112">
        <f ca="1">IF(ROUND(SUM(B43:C43,-F43),0)=0,0,IF($B$6="Yes",SUM($C$9:C43),SUM(B43:C43,-F43)))</f>
        <v>0</v>
      </c>
    </row>
    <row r="44" spans="1:7" ht="16.149999999999999" customHeight="1" x14ac:dyDescent="0.25">
      <c r="A44" s="109">
        <f t="shared" ca="1" si="1"/>
        <v>46904</v>
      </c>
      <c r="B44" s="110">
        <f t="shared" ca="1" si="2"/>
        <v>0</v>
      </c>
      <c r="C44" s="115">
        <v>0</v>
      </c>
      <c r="D44" s="111">
        <f t="shared" ca="1" si="3"/>
        <v>0</v>
      </c>
      <c r="E44" s="111">
        <f t="shared" ca="1" si="4"/>
        <v>0</v>
      </c>
      <c r="F44" s="111">
        <f t="shared" ca="1" si="0"/>
        <v>0</v>
      </c>
      <c r="G44" s="112">
        <f ca="1">IF(ROUND(SUM(B44:C44,-F44),0)=0,0,IF($B$6="Yes",SUM($C$9:C44),SUM(B44:C44,-F44)))</f>
        <v>0</v>
      </c>
    </row>
    <row r="45" spans="1:7" ht="16.149999999999999" customHeight="1" x14ac:dyDescent="0.25">
      <c r="A45" s="109">
        <f t="shared" ca="1" si="1"/>
        <v>46934</v>
      </c>
      <c r="B45" s="110">
        <f t="shared" ca="1" si="2"/>
        <v>0</v>
      </c>
      <c r="C45" s="115">
        <v>0</v>
      </c>
      <c r="D45" s="111">
        <f t="shared" ca="1" si="3"/>
        <v>0</v>
      </c>
      <c r="E45" s="111">
        <f t="shared" ca="1" si="4"/>
        <v>0</v>
      </c>
      <c r="F45" s="111">
        <f t="shared" ca="1" si="0"/>
        <v>0</v>
      </c>
      <c r="G45" s="112">
        <f ca="1">IF(ROUND(SUM(B45:C45,-F45),0)=0,0,IF($B$6="Yes",SUM($C$9:C45),SUM(B45:C45,-F45)))</f>
        <v>0</v>
      </c>
    </row>
    <row r="46" spans="1:7" ht="16.149999999999999" customHeight="1" x14ac:dyDescent="0.25">
      <c r="A46" s="109">
        <f t="shared" ca="1" si="1"/>
        <v>46965</v>
      </c>
      <c r="B46" s="110">
        <f t="shared" ca="1" si="2"/>
        <v>0</v>
      </c>
      <c r="C46" s="115">
        <v>0</v>
      </c>
      <c r="D46" s="111">
        <f t="shared" ca="1" si="3"/>
        <v>0</v>
      </c>
      <c r="E46" s="111">
        <f t="shared" ca="1" si="4"/>
        <v>0</v>
      </c>
      <c r="F46" s="111">
        <f t="shared" ca="1" si="0"/>
        <v>0</v>
      </c>
      <c r="G46" s="112">
        <f ca="1">IF(ROUND(SUM(B46:C46,-F46),0)=0,0,IF($B$6="Yes",SUM($C$9:C46),SUM(B46:C46,-F46)))</f>
        <v>0</v>
      </c>
    </row>
    <row r="47" spans="1:7" ht="16.149999999999999" customHeight="1" x14ac:dyDescent="0.25">
      <c r="A47" s="109">
        <f t="shared" ca="1" si="1"/>
        <v>46996</v>
      </c>
      <c r="B47" s="110">
        <f t="shared" ca="1" si="2"/>
        <v>0</v>
      </c>
      <c r="C47" s="115">
        <v>0</v>
      </c>
      <c r="D47" s="111">
        <f t="shared" ca="1" si="3"/>
        <v>0</v>
      </c>
      <c r="E47" s="111">
        <f t="shared" ca="1" si="4"/>
        <v>0</v>
      </c>
      <c r="F47" s="111">
        <f t="shared" ca="1" si="0"/>
        <v>0</v>
      </c>
      <c r="G47" s="112">
        <f ca="1">IF(ROUND(SUM(B47:C47,-F47),0)=0,0,IF($B$6="Yes",SUM($C$9:C47),SUM(B47:C47,-F47)))</f>
        <v>0</v>
      </c>
    </row>
    <row r="48" spans="1:7" ht="16.149999999999999" customHeight="1" x14ac:dyDescent="0.25">
      <c r="A48" s="109">
        <f t="shared" ca="1" si="1"/>
        <v>47026</v>
      </c>
      <c r="B48" s="110">
        <f t="shared" ca="1" si="2"/>
        <v>0</v>
      </c>
      <c r="C48" s="115">
        <v>0</v>
      </c>
      <c r="D48" s="111">
        <f t="shared" ca="1" si="3"/>
        <v>0</v>
      </c>
      <c r="E48" s="111">
        <f t="shared" ca="1" si="4"/>
        <v>0</v>
      </c>
      <c r="F48" s="111">
        <f t="shared" ca="1" si="0"/>
        <v>0</v>
      </c>
      <c r="G48" s="112">
        <f ca="1">IF(ROUND(SUM(B48:C48,-F48),0)=0,0,IF($B$6="Yes",SUM($C$9:C48),SUM(B48:C48,-F48)))</f>
        <v>0</v>
      </c>
    </row>
    <row r="49" spans="1:7" ht="16.149999999999999" customHeight="1" x14ac:dyDescent="0.25">
      <c r="A49" s="109">
        <f t="shared" ca="1" si="1"/>
        <v>47057</v>
      </c>
      <c r="B49" s="110">
        <f t="shared" ca="1" si="2"/>
        <v>0</v>
      </c>
      <c r="C49" s="115">
        <v>0</v>
      </c>
      <c r="D49" s="111">
        <f t="shared" ca="1" si="3"/>
        <v>0</v>
      </c>
      <c r="E49" s="111">
        <f t="shared" ca="1" si="4"/>
        <v>0</v>
      </c>
      <c r="F49" s="111">
        <f t="shared" ca="1" si="0"/>
        <v>0</v>
      </c>
      <c r="G49" s="112">
        <f ca="1">IF(ROUND(SUM(B49:C49,-F49),0)=0,0,IF($B$6="Yes",SUM($C$9:C49),SUM(B49:C49,-F49)))</f>
        <v>0</v>
      </c>
    </row>
    <row r="50" spans="1:7" ht="16.149999999999999" customHeight="1" x14ac:dyDescent="0.25">
      <c r="A50" s="109">
        <f t="shared" ca="1" si="1"/>
        <v>47087</v>
      </c>
      <c r="B50" s="110">
        <f t="shared" ca="1" si="2"/>
        <v>0</v>
      </c>
      <c r="C50" s="115">
        <v>0</v>
      </c>
      <c r="D50" s="111">
        <f t="shared" ca="1" si="3"/>
        <v>0</v>
      </c>
      <c r="E50" s="111">
        <f t="shared" ca="1" si="4"/>
        <v>0</v>
      </c>
      <c r="F50" s="111">
        <f t="shared" ca="1" si="0"/>
        <v>0</v>
      </c>
      <c r="G50" s="112">
        <f ca="1">IF(ROUND(SUM(B50:C50,-F50),0)=0,0,IF($B$6="Yes",SUM($C$9:C50),SUM(B50:C50,-F50)))</f>
        <v>0</v>
      </c>
    </row>
    <row r="51" spans="1:7" ht="16.149999999999999" customHeight="1" x14ac:dyDescent="0.25">
      <c r="A51" s="109">
        <f t="shared" ca="1" si="1"/>
        <v>47118</v>
      </c>
      <c r="B51" s="110">
        <f t="shared" ca="1" si="2"/>
        <v>0</v>
      </c>
      <c r="C51" s="115">
        <v>0</v>
      </c>
      <c r="D51" s="111">
        <f t="shared" ca="1" si="3"/>
        <v>0</v>
      </c>
      <c r="E51" s="111">
        <f t="shared" ca="1" si="4"/>
        <v>0</v>
      </c>
      <c r="F51" s="111">
        <f t="shared" ca="1" si="0"/>
        <v>0</v>
      </c>
      <c r="G51" s="112">
        <f ca="1">IF(ROUND(SUM(B51:C51,-F51),0)=0,0,IF($B$6="Yes",SUM($C$9:C51),SUM(B51:C51,-F51)))</f>
        <v>0</v>
      </c>
    </row>
    <row r="52" spans="1:7" ht="16.149999999999999" customHeight="1" x14ac:dyDescent="0.25">
      <c r="A52" s="109">
        <f t="shared" ca="1" si="1"/>
        <v>47149</v>
      </c>
      <c r="B52" s="110">
        <f t="shared" ca="1" si="2"/>
        <v>0</v>
      </c>
      <c r="C52" s="115">
        <v>0</v>
      </c>
      <c r="D52" s="111">
        <f t="shared" ca="1" si="3"/>
        <v>0</v>
      </c>
      <c r="E52" s="111">
        <f t="shared" ca="1" si="4"/>
        <v>0</v>
      </c>
      <c r="F52" s="111">
        <f t="shared" ca="1" si="0"/>
        <v>0</v>
      </c>
      <c r="G52" s="112">
        <f ca="1">IF(ROUND(SUM(B52:C52,-F52),0)=0,0,IF($B$6="Yes",SUM($C$9:C52),SUM(B52:C52,-F52)))</f>
        <v>0</v>
      </c>
    </row>
    <row r="53" spans="1:7" ht="16.149999999999999" customHeight="1" x14ac:dyDescent="0.25">
      <c r="A53" s="109">
        <f t="shared" ca="1" si="1"/>
        <v>47177</v>
      </c>
      <c r="B53" s="110">
        <f t="shared" ca="1" si="2"/>
        <v>0</v>
      </c>
      <c r="C53" s="115">
        <v>0</v>
      </c>
      <c r="D53" s="111">
        <f t="shared" ca="1" si="3"/>
        <v>0</v>
      </c>
      <c r="E53" s="111">
        <f t="shared" ca="1" si="4"/>
        <v>0</v>
      </c>
      <c r="F53" s="111">
        <f t="shared" ca="1" si="0"/>
        <v>0</v>
      </c>
      <c r="G53" s="112">
        <f ca="1">IF(ROUND(SUM(B53:C53,-F53),0)=0,0,IF($B$6="Yes",SUM($C$9:C53),SUM(B53:C53,-F53)))</f>
        <v>0</v>
      </c>
    </row>
    <row r="54" spans="1:7" ht="16.149999999999999" customHeight="1" x14ac:dyDescent="0.25">
      <c r="A54" s="109">
        <f t="shared" ca="1" si="1"/>
        <v>47208</v>
      </c>
      <c r="B54" s="110">
        <f t="shared" ca="1" si="2"/>
        <v>0</v>
      </c>
      <c r="C54" s="115">
        <v>0</v>
      </c>
      <c r="D54" s="111">
        <f t="shared" ca="1" si="3"/>
        <v>0</v>
      </c>
      <c r="E54" s="111">
        <f t="shared" ca="1" si="4"/>
        <v>0</v>
      </c>
      <c r="F54" s="111">
        <f t="shared" ca="1" si="0"/>
        <v>0</v>
      </c>
      <c r="G54" s="112">
        <f ca="1">IF(ROUND(SUM(B54:C54,-F54),0)=0,0,IF($B$6="Yes",SUM($C$9:C54),SUM(B54:C54,-F54)))</f>
        <v>0</v>
      </c>
    </row>
    <row r="55" spans="1:7" ht="16.149999999999999" customHeight="1" x14ac:dyDescent="0.25">
      <c r="A55" s="109">
        <f t="shared" ca="1" si="1"/>
        <v>47238</v>
      </c>
      <c r="B55" s="110">
        <f t="shared" ca="1" si="2"/>
        <v>0</v>
      </c>
      <c r="C55" s="115">
        <v>0</v>
      </c>
      <c r="D55" s="111">
        <f t="shared" ca="1" si="3"/>
        <v>0</v>
      </c>
      <c r="E55" s="111">
        <f t="shared" ca="1" si="4"/>
        <v>0</v>
      </c>
      <c r="F55" s="111">
        <f t="shared" ca="1" si="0"/>
        <v>0</v>
      </c>
      <c r="G55" s="112">
        <f ca="1">IF(ROUND(SUM(B55:C55,-F55),0)=0,0,IF($B$6="Yes",SUM($C$9:C55),SUM(B55:C55,-F55)))</f>
        <v>0</v>
      </c>
    </row>
    <row r="56" spans="1:7" ht="16.149999999999999" customHeight="1" x14ac:dyDescent="0.25">
      <c r="A56" s="109">
        <f t="shared" ca="1" si="1"/>
        <v>47269</v>
      </c>
      <c r="B56" s="110">
        <f t="shared" ca="1" si="2"/>
        <v>0</v>
      </c>
      <c r="C56" s="115">
        <v>0</v>
      </c>
      <c r="D56" s="111">
        <f t="shared" ca="1" si="3"/>
        <v>0</v>
      </c>
      <c r="E56" s="111">
        <f t="shared" ca="1" si="4"/>
        <v>0</v>
      </c>
      <c r="F56" s="111">
        <f t="shared" ca="1" si="0"/>
        <v>0</v>
      </c>
      <c r="G56" s="112">
        <f ca="1">IF(ROUND(SUM(B56:C56,-F56),0)=0,0,IF($B$6="Yes",SUM($C$9:C56),SUM(B56:C56,-F56)))</f>
        <v>0</v>
      </c>
    </row>
    <row r="57" spans="1:7" ht="16.149999999999999" customHeight="1" x14ac:dyDescent="0.25">
      <c r="A57" s="109">
        <f t="shared" ca="1" si="1"/>
        <v>47299</v>
      </c>
      <c r="B57" s="110">
        <f t="shared" ca="1" si="2"/>
        <v>0</v>
      </c>
      <c r="C57" s="115">
        <v>0</v>
      </c>
      <c r="D57" s="111">
        <f t="shared" ca="1" si="3"/>
        <v>0</v>
      </c>
      <c r="E57" s="111">
        <f t="shared" ca="1" si="4"/>
        <v>0</v>
      </c>
      <c r="F57" s="111">
        <f t="shared" ca="1" si="0"/>
        <v>0</v>
      </c>
      <c r="G57" s="112">
        <f ca="1">IF(ROUND(SUM(B57:C57,-F57),0)=0,0,IF($B$6="Yes",SUM($C$9:C57),SUM(B57:C57,-F57)))</f>
        <v>0</v>
      </c>
    </row>
    <row r="58" spans="1:7" ht="16.149999999999999" customHeight="1" x14ac:dyDescent="0.25">
      <c r="A58" s="109">
        <f t="shared" ca="1" si="1"/>
        <v>47330</v>
      </c>
      <c r="B58" s="110">
        <f t="shared" ca="1" si="2"/>
        <v>0</v>
      </c>
      <c r="C58" s="115">
        <v>0</v>
      </c>
      <c r="D58" s="111">
        <f t="shared" ca="1" si="3"/>
        <v>0</v>
      </c>
      <c r="E58" s="111">
        <f t="shared" ca="1" si="4"/>
        <v>0</v>
      </c>
      <c r="F58" s="111">
        <f t="shared" ca="1" si="0"/>
        <v>0</v>
      </c>
      <c r="G58" s="112">
        <f ca="1">IF(ROUND(SUM(B58:C58,-F58),0)=0,0,IF($B$6="Yes",SUM($C$9:C58),SUM(B58:C58,-F58)))</f>
        <v>0</v>
      </c>
    </row>
    <row r="59" spans="1:7" ht="16.149999999999999" customHeight="1" x14ac:dyDescent="0.25">
      <c r="A59" s="109">
        <f t="shared" ca="1" si="1"/>
        <v>47361</v>
      </c>
      <c r="B59" s="110">
        <f t="shared" ca="1" si="2"/>
        <v>0</v>
      </c>
      <c r="C59" s="115">
        <v>0</v>
      </c>
      <c r="D59" s="111">
        <f t="shared" ca="1" si="3"/>
        <v>0</v>
      </c>
      <c r="E59" s="111">
        <f t="shared" ca="1" si="4"/>
        <v>0</v>
      </c>
      <c r="F59" s="111">
        <f t="shared" ca="1" si="0"/>
        <v>0</v>
      </c>
      <c r="G59" s="112">
        <f ca="1">IF(ROUND(SUM(B59:C59,-F59),0)=0,0,IF($B$6="Yes",SUM($C$9:C59),SUM(B59:C59,-F59)))</f>
        <v>0</v>
      </c>
    </row>
    <row r="60" spans="1:7" ht="16.149999999999999" customHeight="1" x14ac:dyDescent="0.25">
      <c r="A60" s="109">
        <f t="shared" ca="1" si="1"/>
        <v>47391</v>
      </c>
      <c r="B60" s="110">
        <f t="shared" ca="1" si="2"/>
        <v>0</v>
      </c>
      <c r="C60" s="115">
        <v>0</v>
      </c>
      <c r="D60" s="111">
        <f t="shared" ca="1" si="3"/>
        <v>0</v>
      </c>
      <c r="E60" s="111">
        <f t="shared" ca="1" si="4"/>
        <v>0</v>
      </c>
      <c r="F60" s="111">
        <f t="shared" ca="1" si="0"/>
        <v>0</v>
      </c>
      <c r="G60" s="112">
        <f ca="1">IF(ROUND(SUM(B60:C60,-F60),0)=0,0,IF($B$6="Yes",SUM($C$9:C60),SUM(B60:C60,-F60)))</f>
        <v>0</v>
      </c>
    </row>
    <row r="61" spans="1:7" ht="16.149999999999999" customHeight="1" x14ac:dyDescent="0.25">
      <c r="A61" s="109">
        <f t="shared" ca="1" si="1"/>
        <v>47422</v>
      </c>
      <c r="B61" s="110">
        <f t="shared" ca="1" si="2"/>
        <v>0</v>
      </c>
      <c r="C61" s="115">
        <v>0</v>
      </c>
      <c r="D61" s="111">
        <f t="shared" ca="1" si="3"/>
        <v>0</v>
      </c>
      <c r="E61" s="111">
        <f t="shared" ca="1" si="4"/>
        <v>0</v>
      </c>
      <c r="F61" s="111">
        <f t="shared" ca="1" si="0"/>
        <v>0</v>
      </c>
      <c r="G61" s="112">
        <f ca="1">IF(ROUND(SUM(B61:C61,-F61),0)=0,0,IF($B$6="Yes",SUM($C$9:C61),SUM(B61:C61,-F61)))</f>
        <v>0</v>
      </c>
    </row>
    <row r="62" spans="1:7" ht="16.149999999999999" customHeight="1" x14ac:dyDescent="0.25">
      <c r="A62" s="109">
        <f t="shared" ca="1" si="1"/>
        <v>47452</v>
      </c>
      <c r="B62" s="110">
        <f t="shared" ca="1" si="2"/>
        <v>0</v>
      </c>
      <c r="C62" s="115">
        <v>0</v>
      </c>
      <c r="D62" s="111">
        <f t="shared" ca="1" si="3"/>
        <v>0</v>
      </c>
      <c r="E62" s="111">
        <f t="shared" ca="1" si="4"/>
        <v>0</v>
      </c>
      <c r="F62" s="111">
        <f t="shared" ca="1" si="0"/>
        <v>0</v>
      </c>
      <c r="G62" s="112">
        <f ca="1">IF(ROUND(SUM(B62:C62,-F62),0)=0,0,IF($B$6="Yes",SUM($C$9:C62),SUM(B62:C62,-F62)))</f>
        <v>0</v>
      </c>
    </row>
    <row r="63" spans="1:7" ht="16.149999999999999" customHeight="1" x14ac:dyDescent="0.25">
      <c r="A63" s="109">
        <f t="shared" ca="1" si="1"/>
        <v>47483</v>
      </c>
      <c r="B63" s="110">
        <f t="shared" ca="1" si="2"/>
        <v>0</v>
      </c>
      <c r="C63" s="115">
        <v>0</v>
      </c>
      <c r="D63" s="111">
        <f t="shared" ca="1" si="3"/>
        <v>0</v>
      </c>
      <c r="E63" s="111">
        <f t="shared" ca="1" si="4"/>
        <v>0</v>
      </c>
      <c r="F63" s="111">
        <f t="shared" ca="1" si="0"/>
        <v>0</v>
      </c>
      <c r="G63" s="112">
        <f ca="1">IF(ROUND(SUM(B63:C63,-F63),0)=0,0,IF($B$6="Yes",SUM($C$9:C63),SUM(B63:C63,-F63)))</f>
        <v>0</v>
      </c>
    </row>
    <row r="64" spans="1:7" ht="16.149999999999999" customHeight="1" x14ac:dyDescent="0.25">
      <c r="A64" s="109">
        <f t="shared" ca="1" si="1"/>
        <v>47514</v>
      </c>
      <c r="B64" s="110">
        <f t="shared" ca="1" si="2"/>
        <v>0</v>
      </c>
      <c r="C64" s="115">
        <v>0</v>
      </c>
      <c r="D64" s="111">
        <f t="shared" ca="1" si="3"/>
        <v>0</v>
      </c>
      <c r="E64" s="111">
        <f t="shared" ca="1" si="4"/>
        <v>0</v>
      </c>
      <c r="F64" s="111">
        <f t="shared" ca="1" si="0"/>
        <v>0</v>
      </c>
      <c r="G64" s="112">
        <f ca="1">IF(ROUND(SUM(B64:C64,-F64),0)=0,0,IF($B$6="Yes",SUM($C$9:C64),SUM(B64:C64,-F64)))</f>
        <v>0</v>
      </c>
    </row>
    <row r="65" spans="1:7" ht="16.149999999999999" customHeight="1" x14ac:dyDescent="0.25">
      <c r="A65" s="109">
        <f t="shared" ca="1" si="1"/>
        <v>47542</v>
      </c>
      <c r="B65" s="110">
        <f t="shared" ca="1" si="2"/>
        <v>0</v>
      </c>
      <c r="C65" s="115">
        <v>0</v>
      </c>
      <c r="D65" s="111">
        <f t="shared" ca="1" si="3"/>
        <v>0</v>
      </c>
      <c r="E65" s="111">
        <f t="shared" ca="1" si="4"/>
        <v>0</v>
      </c>
      <c r="F65" s="111">
        <f t="shared" ca="1" si="0"/>
        <v>0</v>
      </c>
      <c r="G65" s="112">
        <f ca="1">IF(ROUND(SUM(B65:C65,-F65),0)=0,0,IF($B$6="Yes",SUM($C$9:C65),SUM(B65:C65,-F65)))</f>
        <v>0</v>
      </c>
    </row>
    <row r="66" spans="1:7" ht="16.149999999999999" customHeight="1" x14ac:dyDescent="0.25">
      <c r="A66" s="109">
        <f t="shared" ca="1" si="1"/>
        <v>47573</v>
      </c>
      <c r="B66" s="110">
        <f t="shared" ca="1" si="2"/>
        <v>0</v>
      </c>
      <c r="C66" s="115">
        <v>0</v>
      </c>
      <c r="D66" s="111">
        <f t="shared" ca="1" si="3"/>
        <v>0</v>
      </c>
      <c r="E66" s="111">
        <f t="shared" ca="1" si="4"/>
        <v>0</v>
      </c>
      <c r="F66" s="111">
        <f t="shared" ca="1" si="0"/>
        <v>0</v>
      </c>
      <c r="G66" s="112">
        <f ca="1">IF(ROUND(SUM(B66:C66,-F66),0)=0,0,IF($B$6="Yes",SUM($C$9:C66),SUM(B66:C66,-F66)))</f>
        <v>0</v>
      </c>
    </row>
    <row r="67" spans="1:7" ht="16.149999999999999" customHeight="1" x14ac:dyDescent="0.25">
      <c r="A67" s="109">
        <f t="shared" ca="1" si="1"/>
        <v>47603</v>
      </c>
      <c r="B67" s="110">
        <f t="shared" ca="1" si="2"/>
        <v>0</v>
      </c>
      <c r="C67" s="115">
        <v>0</v>
      </c>
      <c r="D67" s="111">
        <f t="shared" ca="1" si="3"/>
        <v>0</v>
      </c>
      <c r="E67" s="111">
        <f t="shared" ca="1" si="4"/>
        <v>0</v>
      </c>
      <c r="F67" s="111">
        <f t="shared" ca="1" si="0"/>
        <v>0</v>
      </c>
      <c r="G67" s="112">
        <f ca="1">IF(ROUND(SUM(B67:C67,-F67),0)=0,0,IF($B$6="Yes",SUM($C$9:C67),SUM(B67:C67,-F67)))</f>
        <v>0</v>
      </c>
    </row>
    <row r="68" spans="1:7" ht="16.149999999999999" customHeight="1" x14ac:dyDescent="0.25">
      <c r="A68" s="109">
        <f t="shared" ca="1" si="1"/>
        <v>47634</v>
      </c>
      <c r="B68" s="110">
        <f t="shared" ca="1" si="2"/>
        <v>0</v>
      </c>
      <c r="C68" s="115">
        <v>0</v>
      </c>
      <c r="D68" s="111">
        <f t="shared" ca="1" si="3"/>
        <v>0</v>
      </c>
      <c r="E68" s="111">
        <f t="shared" ca="1" si="4"/>
        <v>0</v>
      </c>
      <c r="F68" s="111">
        <f t="shared" ca="1" si="0"/>
        <v>0</v>
      </c>
      <c r="G68" s="112">
        <f ca="1">IF(ROUND(SUM(B68:C68,-F68),0)=0,0,IF($B$6="Yes",SUM($C$9:C68),SUM(B68:C68,-F68)))</f>
        <v>0</v>
      </c>
    </row>
    <row r="69" spans="1:7" ht="16.149999999999999" customHeight="1" x14ac:dyDescent="0.25">
      <c r="A69" s="109">
        <f t="shared" ca="1" si="1"/>
        <v>47664</v>
      </c>
      <c r="B69" s="110">
        <f t="shared" ca="1" si="2"/>
        <v>0</v>
      </c>
      <c r="C69" s="115">
        <v>0</v>
      </c>
      <c r="D69" s="111">
        <f t="shared" ca="1" si="3"/>
        <v>0</v>
      </c>
      <c r="E69" s="111">
        <f t="shared" ca="1" si="4"/>
        <v>0</v>
      </c>
      <c r="F69" s="111">
        <f t="shared" ca="1" si="0"/>
        <v>0</v>
      </c>
      <c r="G69" s="112">
        <f ca="1">IF(ROUND(SUM(B69:C69,-F69),0)=0,0,IF($B$6="Yes",SUM($C$9:C69),SUM(B69:C69,-F69)))</f>
        <v>0</v>
      </c>
    </row>
    <row r="70" spans="1:7" ht="16.149999999999999" customHeight="1" x14ac:dyDescent="0.25">
      <c r="A70" s="109">
        <f t="shared" ca="1" si="1"/>
        <v>47695</v>
      </c>
      <c r="B70" s="110">
        <f t="shared" ca="1" si="2"/>
        <v>0</v>
      </c>
      <c r="C70" s="115">
        <v>0</v>
      </c>
      <c r="D70" s="111">
        <f t="shared" ca="1" si="3"/>
        <v>0</v>
      </c>
      <c r="E70" s="111">
        <f t="shared" ca="1" si="4"/>
        <v>0</v>
      </c>
      <c r="F70" s="111">
        <f t="shared" ca="1" si="0"/>
        <v>0</v>
      </c>
      <c r="G70" s="112">
        <f ca="1">IF(ROUND(SUM(B70:C70,-F70),0)=0,0,IF($B$6="Yes",SUM($C$9:C70),SUM(B70:C70,-F70)))</f>
        <v>0</v>
      </c>
    </row>
    <row r="71" spans="1:7" ht="16.149999999999999" customHeight="1" x14ac:dyDescent="0.25">
      <c r="A71" s="109">
        <f t="shared" ca="1" si="1"/>
        <v>47726</v>
      </c>
      <c r="B71" s="110">
        <f t="shared" ca="1" si="2"/>
        <v>0</v>
      </c>
      <c r="C71" s="115">
        <v>0</v>
      </c>
      <c r="D71" s="111">
        <f t="shared" ca="1" si="3"/>
        <v>0</v>
      </c>
      <c r="E71" s="111">
        <f t="shared" ca="1" si="4"/>
        <v>0</v>
      </c>
      <c r="F71" s="111">
        <f t="shared" ca="1" si="0"/>
        <v>0</v>
      </c>
      <c r="G71" s="112">
        <f ca="1">IF(ROUND(SUM(B71:C71,-F71),0)=0,0,IF($B$6="Yes",SUM($C$9:C71),SUM(B71:C71,-F71)))</f>
        <v>0</v>
      </c>
    </row>
    <row r="72" spans="1:7" ht="16.149999999999999" customHeight="1" x14ac:dyDescent="0.25">
      <c r="A72" s="109">
        <f t="shared" ca="1" si="1"/>
        <v>47756</v>
      </c>
      <c r="B72" s="110">
        <f t="shared" ca="1" si="2"/>
        <v>0</v>
      </c>
      <c r="C72" s="115">
        <v>0</v>
      </c>
      <c r="D72" s="111">
        <f t="shared" ca="1" si="3"/>
        <v>0</v>
      </c>
      <c r="E72" s="111">
        <f t="shared" ca="1" si="4"/>
        <v>0</v>
      </c>
      <c r="F72" s="111">
        <f t="shared" ca="1" si="0"/>
        <v>0</v>
      </c>
      <c r="G72" s="112">
        <f ca="1">IF(ROUND(SUM(B72:C72,-F72),0)=0,0,IF($B$6="Yes",SUM($C$9:C72),SUM(B72:C72,-F72)))</f>
        <v>0</v>
      </c>
    </row>
    <row r="73" spans="1:7" ht="16.149999999999999" customHeight="1" x14ac:dyDescent="0.25">
      <c r="A73" s="109">
        <f t="shared" ca="1" si="1"/>
        <v>47787</v>
      </c>
      <c r="B73" s="110">
        <f t="shared" ca="1" si="2"/>
        <v>0</v>
      </c>
      <c r="C73" s="115">
        <v>0</v>
      </c>
      <c r="D73" s="111">
        <f t="shared" ca="1" si="3"/>
        <v>0</v>
      </c>
      <c r="E73" s="111">
        <f t="shared" ca="1" si="4"/>
        <v>0</v>
      </c>
      <c r="F73" s="111">
        <f t="shared" ca="1" si="0"/>
        <v>0</v>
      </c>
      <c r="G73" s="112">
        <f ca="1">IF(ROUND(SUM(B73:C73,-F73),0)=0,0,IF($B$6="Yes",SUM($C$9:C73),SUM(B73:C73,-F73)))</f>
        <v>0</v>
      </c>
    </row>
    <row r="74" spans="1:7" ht="16.149999999999999" customHeight="1" x14ac:dyDescent="0.25">
      <c r="A74" s="109">
        <f t="shared" ca="1" si="1"/>
        <v>47817</v>
      </c>
      <c r="B74" s="110">
        <f t="shared" ca="1" si="2"/>
        <v>0</v>
      </c>
      <c r="C74" s="115">
        <v>0</v>
      </c>
      <c r="D74" s="111">
        <f t="shared" ca="1" si="3"/>
        <v>0</v>
      </c>
      <c r="E74" s="111">
        <f t="shared" ca="1" si="4"/>
        <v>0</v>
      </c>
      <c r="F74" s="111">
        <f t="shared" ref="F74:F137" ca="1" si="5">IF($B$6="Yes",0,D74-E74)</f>
        <v>0</v>
      </c>
      <c r="G74" s="112">
        <f ca="1">IF(ROUND(SUM(B74:C74,-F74),0)=0,0,IF($B$6="Yes",SUM($C$9:C74),SUM(B74:C74,-F74)))</f>
        <v>0</v>
      </c>
    </row>
    <row r="75" spans="1:7" ht="16.149999999999999" customHeight="1" x14ac:dyDescent="0.25">
      <c r="A75" s="109">
        <f t="shared" ref="A75:A125" ca="1" si="6">DATE(YEAR(A74),MONTH(A74)+2,0)</f>
        <v>47848</v>
      </c>
      <c r="B75" s="110">
        <f t="shared" ref="B75:B138" ca="1" si="7">G74</f>
        <v>0</v>
      </c>
      <c r="C75" s="115">
        <v>0</v>
      </c>
      <c r="D75" s="111">
        <f t="shared" ref="D75:D138" ca="1" si="8">IF($B$6="Yes",0,IF(ROW(C75)-ROW($C$9)&gt;$B$5*12,-PMT($B$4/12,$B$5*12,SUM(OFFSET(C75,0,0,-$B$5*12,1)),0,0),-PMT($B$4/12,$B$5*12,SUM(OFFSET(C75,0,0,ROW($C$8)-ROW(C75),1)),0,0)))</f>
        <v>0</v>
      </c>
      <c r="E75" s="111">
        <f t="shared" ref="E75:E138" ca="1" si="9">(G74+C75)*$B$4/12</f>
        <v>0</v>
      </c>
      <c r="F75" s="111">
        <f t="shared" ca="1" si="5"/>
        <v>0</v>
      </c>
      <c r="G75" s="112">
        <f ca="1">IF(ROUND(SUM(B75:C75,-F75),0)=0,0,IF($B$6="Yes",SUM($C$9:C75),SUM(B75:C75,-F75)))</f>
        <v>0</v>
      </c>
    </row>
    <row r="76" spans="1:7" ht="16.149999999999999" customHeight="1" x14ac:dyDescent="0.25">
      <c r="A76" s="109">
        <f t="shared" ca="1" si="6"/>
        <v>47879</v>
      </c>
      <c r="B76" s="110">
        <f t="shared" ca="1" si="7"/>
        <v>0</v>
      </c>
      <c r="C76" s="115">
        <v>0</v>
      </c>
      <c r="D76" s="111">
        <f t="shared" ca="1" si="8"/>
        <v>0</v>
      </c>
      <c r="E76" s="111">
        <f t="shared" ca="1" si="9"/>
        <v>0</v>
      </c>
      <c r="F76" s="111">
        <f t="shared" ca="1" si="5"/>
        <v>0</v>
      </c>
      <c r="G76" s="112">
        <f ca="1">IF(ROUND(SUM(B76:C76,-F76),0)=0,0,IF($B$6="Yes",SUM($C$9:C76),SUM(B76:C76,-F76)))</f>
        <v>0</v>
      </c>
    </row>
    <row r="77" spans="1:7" ht="16.149999999999999" customHeight="1" x14ac:dyDescent="0.25">
      <c r="A77" s="109">
        <f t="shared" ca="1" si="6"/>
        <v>47907</v>
      </c>
      <c r="B77" s="110">
        <f t="shared" ca="1" si="7"/>
        <v>0</v>
      </c>
      <c r="C77" s="115">
        <v>0</v>
      </c>
      <c r="D77" s="111">
        <f t="shared" ca="1" si="8"/>
        <v>0</v>
      </c>
      <c r="E77" s="111">
        <f t="shared" ca="1" si="9"/>
        <v>0</v>
      </c>
      <c r="F77" s="111">
        <f t="shared" ca="1" si="5"/>
        <v>0</v>
      </c>
      <c r="G77" s="112">
        <f ca="1">IF(ROUND(SUM(B77:C77,-F77),0)=0,0,IF($B$6="Yes",SUM($C$9:C77),SUM(B77:C77,-F77)))</f>
        <v>0</v>
      </c>
    </row>
    <row r="78" spans="1:7" ht="16.149999999999999" customHeight="1" x14ac:dyDescent="0.25">
      <c r="A78" s="109">
        <f t="shared" ca="1" si="6"/>
        <v>47938</v>
      </c>
      <c r="B78" s="110">
        <f t="shared" ca="1" si="7"/>
        <v>0</v>
      </c>
      <c r="C78" s="115">
        <v>0</v>
      </c>
      <c r="D78" s="111">
        <f t="shared" ca="1" si="8"/>
        <v>0</v>
      </c>
      <c r="E78" s="111">
        <f t="shared" ca="1" si="9"/>
        <v>0</v>
      </c>
      <c r="F78" s="111">
        <f t="shared" ca="1" si="5"/>
        <v>0</v>
      </c>
      <c r="G78" s="112">
        <f ca="1">IF(ROUND(SUM(B78:C78,-F78),0)=0,0,IF($B$6="Yes",SUM($C$9:C78),SUM(B78:C78,-F78)))</f>
        <v>0</v>
      </c>
    </row>
    <row r="79" spans="1:7" ht="16.149999999999999" customHeight="1" x14ac:dyDescent="0.25">
      <c r="A79" s="109">
        <f t="shared" ca="1" si="6"/>
        <v>47968</v>
      </c>
      <c r="B79" s="110">
        <f t="shared" ca="1" si="7"/>
        <v>0</v>
      </c>
      <c r="C79" s="115">
        <v>0</v>
      </c>
      <c r="D79" s="111">
        <f t="shared" ca="1" si="8"/>
        <v>0</v>
      </c>
      <c r="E79" s="111">
        <f t="shared" ca="1" si="9"/>
        <v>0</v>
      </c>
      <c r="F79" s="111">
        <f t="shared" ca="1" si="5"/>
        <v>0</v>
      </c>
      <c r="G79" s="112">
        <f ca="1">IF(ROUND(SUM(B79:C79,-F79),0)=0,0,IF($B$6="Yes",SUM($C$9:C79),SUM(B79:C79,-F79)))</f>
        <v>0</v>
      </c>
    </row>
    <row r="80" spans="1:7" ht="16.149999999999999" customHeight="1" x14ac:dyDescent="0.25">
      <c r="A80" s="109">
        <f t="shared" ca="1" si="6"/>
        <v>47999</v>
      </c>
      <c r="B80" s="110">
        <f t="shared" ca="1" si="7"/>
        <v>0</v>
      </c>
      <c r="C80" s="115">
        <v>0</v>
      </c>
      <c r="D80" s="111">
        <f t="shared" ca="1" si="8"/>
        <v>0</v>
      </c>
      <c r="E80" s="111">
        <f t="shared" ca="1" si="9"/>
        <v>0</v>
      </c>
      <c r="F80" s="111">
        <f t="shared" ca="1" si="5"/>
        <v>0</v>
      </c>
      <c r="G80" s="112">
        <f ca="1">IF(ROUND(SUM(B80:C80,-F80),0)=0,0,IF($B$6="Yes",SUM($C$9:C80),SUM(B80:C80,-F80)))</f>
        <v>0</v>
      </c>
    </row>
    <row r="81" spans="1:7" ht="16.149999999999999" customHeight="1" x14ac:dyDescent="0.25">
      <c r="A81" s="109">
        <f t="shared" ca="1" si="6"/>
        <v>48029</v>
      </c>
      <c r="B81" s="110">
        <f t="shared" ca="1" si="7"/>
        <v>0</v>
      </c>
      <c r="C81" s="115">
        <v>0</v>
      </c>
      <c r="D81" s="111">
        <f t="shared" ca="1" si="8"/>
        <v>0</v>
      </c>
      <c r="E81" s="111">
        <f t="shared" ca="1" si="9"/>
        <v>0</v>
      </c>
      <c r="F81" s="111">
        <f t="shared" ca="1" si="5"/>
        <v>0</v>
      </c>
      <c r="G81" s="112">
        <f ca="1">IF(ROUND(SUM(B81:C81,-F81),0)=0,0,IF($B$6="Yes",SUM($C$9:C81),SUM(B81:C81,-F81)))</f>
        <v>0</v>
      </c>
    </row>
    <row r="82" spans="1:7" ht="16.149999999999999" customHeight="1" x14ac:dyDescent="0.25">
      <c r="A82" s="109">
        <f t="shared" ca="1" si="6"/>
        <v>48060</v>
      </c>
      <c r="B82" s="110">
        <f t="shared" ca="1" si="7"/>
        <v>0</v>
      </c>
      <c r="C82" s="115">
        <v>0</v>
      </c>
      <c r="D82" s="111">
        <f t="shared" ca="1" si="8"/>
        <v>0</v>
      </c>
      <c r="E82" s="111">
        <f t="shared" ca="1" si="9"/>
        <v>0</v>
      </c>
      <c r="F82" s="111">
        <f t="shared" ca="1" si="5"/>
        <v>0</v>
      </c>
      <c r="G82" s="112">
        <f ca="1">IF(ROUND(SUM(B82:C82,-F82),0)=0,0,IF($B$6="Yes",SUM($C$9:C82),SUM(B82:C82,-F82)))</f>
        <v>0</v>
      </c>
    </row>
    <row r="83" spans="1:7" ht="16.149999999999999" customHeight="1" x14ac:dyDescent="0.25">
      <c r="A83" s="109">
        <f t="shared" ca="1" si="6"/>
        <v>48091</v>
      </c>
      <c r="B83" s="110">
        <f t="shared" ca="1" si="7"/>
        <v>0</v>
      </c>
      <c r="C83" s="115">
        <v>0</v>
      </c>
      <c r="D83" s="111">
        <f t="shared" ca="1" si="8"/>
        <v>0</v>
      </c>
      <c r="E83" s="111">
        <f t="shared" ca="1" si="9"/>
        <v>0</v>
      </c>
      <c r="F83" s="111">
        <f t="shared" ca="1" si="5"/>
        <v>0</v>
      </c>
      <c r="G83" s="112">
        <f ca="1">IF(ROUND(SUM(B83:C83,-F83),0)=0,0,IF($B$6="Yes",SUM($C$9:C83),SUM(B83:C83,-F83)))</f>
        <v>0</v>
      </c>
    </row>
    <row r="84" spans="1:7" ht="16.149999999999999" customHeight="1" x14ac:dyDescent="0.25">
      <c r="A84" s="109">
        <f t="shared" ca="1" si="6"/>
        <v>48121</v>
      </c>
      <c r="B84" s="110">
        <f t="shared" ca="1" si="7"/>
        <v>0</v>
      </c>
      <c r="C84" s="115">
        <v>0</v>
      </c>
      <c r="D84" s="111">
        <f t="shared" ca="1" si="8"/>
        <v>0</v>
      </c>
      <c r="E84" s="111">
        <f t="shared" ca="1" si="9"/>
        <v>0</v>
      </c>
      <c r="F84" s="111">
        <f t="shared" ca="1" si="5"/>
        <v>0</v>
      </c>
      <c r="G84" s="112">
        <f ca="1">IF(ROUND(SUM(B84:C84,-F84),0)=0,0,IF($B$6="Yes",SUM($C$9:C84),SUM(B84:C84,-F84)))</f>
        <v>0</v>
      </c>
    </row>
    <row r="85" spans="1:7" ht="16.149999999999999" customHeight="1" x14ac:dyDescent="0.25">
      <c r="A85" s="109">
        <f t="shared" ca="1" si="6"/>
        <v>48152</v>
      </c>
      <c r="B85" s="110">
        <f t="shared" ca="1" si="7"/>
        <v>0</v>
      </c>
      <c r="C85" s="115">
        <v>0</v>
      </c>
      <c r="D85" s="111">
        <f t="shared" ca="1" si="8"/>
        <v>0</v>
      </c>
      <c r="E85" s="111">
        <f t="shared" ca="1" si="9"/>
        <v>0</v>
      </c>
      <c r="F85" s="111">
        <f t="shared" ca="1" si="5"/>
        <v>0</v>
      </c>
      <c r="G85" s="112">
        <f ca="1">IF(ROUND(SUM(B85:C85,-F85),0)=0,0,IF($B$6="Yes",SUM($C$9:C85),SUM(B85:C85,-F85)))</f>
        <v>0</v>
      </c>
    </row>
    <row r="86" spans="1:7" ht="16.149999999999999" customHeight="1" x14ac:dyDescent="0.25">
      <c r="A86" s="109">
        <f t="shared" ca="1" si="6"/>
        <v>48182</v>
      </c>
      <c r="B86" s="110">
        <f t="shared" ca="1" si="7"/>
        <v>0</v>
      </c>
      <c r="C86" s="115">
        <v>0</v>
      </c>
      <c r="D86" s="111">
        <f t="shared" ca="1" si="8"/>
        <v>0</v>
      </c>
      <c r="E86" s="111">
        <f t="shared" ca="1" si="9"/>
        <v>0</v>
      </c>
      <c r="F86" s="111">
        <f t="shared" ca="1" si="5"/>
        <v>0</v>
      </c>
      <c r="G86" s="112">
        <f ca="1">IF(ROUND(SUM(B86:C86,-F86),0)=0,0,IF($B$6="Yes",SUM($C$9:C86),SUM(B86:C86,-F86)))</f>
        <v>0</v>
      </c>
    </row>
    <row r="87" spans="1:7" ht="16.149999999999999" customHeight="1" x14ac:dyDescent="0.25">
      <c r="A87" s="109">
        <f t="shared" ca="1" si="6"/>
        <v>48213</v>
      </c>
      <c r="B87" s="110">
        <f t="shared" ca="1" si="7"/>
        <v>0</v>
      </c>
      <c r="C87" s="115">
        <v>0</v>
      </c>
      <c r="D87" s="111">
        <f t="shared" ca="1" si="8"/>
        <v>0</v>
      </c>
      <c r="E87" s="111">
        <f t="shared" ca="1" si="9"/>
        <v>0</v>
      </c>
      <c r="F87" s="111">
        <f t="shared" ca="1" si="5"/>
        <v>0</v>
      </c>
      <c r="G87" s="112">
        <f ca="1">IF(ROUND(SUM(B87:C87,-F87),0)=0,0,IF($B$6="Yes",SUM($C$9:C87),SUM(B87:C87,-F87)))</f>
        <v>0</v>
      </c>
    </row>
    <row r="88" spans="1:7" ht="16.149999999999999" customHeight="1" x14ac:dyDescent="0.25">
      <c r="A88" s="109">
        <f t="shared" ca="1" si="6"/>
        <v>48244</v>
      </c>
      <c r="B88" s="110">
        <f t="shared" ca="1" si="7"/>
        <v>0</v>
      </c>
      <c r="C88" s="115">
        <v>0</v>
      </c>
      <c r="D88" s="111">
        <f t="shared" ca="1" si="8"/>
        <v>0</v>
      </c>
      <c r="E88" s="111">
        <f t="shared" ca="1" si="9"/>
        <v>0</v>
      </c>
      <c r="F88" s="111">
        <f t="shared" ca="1" si="5"/>
        <v>0</v>
      </c>
      <c r="G88" s="112">
        <f ca="1">IF(ROUND(SUM(B88:C88,-F88),0)=0,0,IF($B$6="Yes",SUM($C$9:C88),SUM(B88:C88,-F88)))</f>
        <v>0</v>
      </c>
    </row>
    <row r="89" spans="1:7" ht="16.149999999999999" customHeight="1" x14ac:dyDescent="0.25">
      <c r="A89" s="109">
        <f t="shared" ca="1" si="6"/>
        <v>48273</v>
      </c>
      <c r="B89" s="110">
        <f t="shared" ca="1" si="7"/>
        <v>0</v>
      </c>
      <c r="C89" s="115">
        <v>0</v>
      </c>
      <c r="D89" s="111">
        <f t="shared" ca="1" si="8"/>
        <v>0</v>
      </c>
      <c r="E89" s="111">
        <f t="shared" ca="1" si="9"/>
        <v>0</v>
      </c>
      <c r="F89" s="111">
        <f t="shared" ca="1" si="5"/>
        <v>0</v>
      </c>
      <c r="G89" s="112">
        <f ca="1">IF(ROUND(SUM(B89:C89,-F89),0)=0,0,IF($B$6="Yes",SUM($C$9:C89),SUM(B89:C89,-F89)))</f>
        <v>0</v>
      </c>
    </row>
    <row r="90" spans="1:7" ht="16.149999999999999" customHeight="1" x14ac:dyDescent="0.25">
      <c r="A90" s="109">
        <f t="shared" ca="1" si="6"/>
        <v>48304</v>
      </c>
      <c r="B90" s="110">
        <f t="shared" ca="1" si="7"/>
        <v>0</v>
      </c>
      <c r="C90" s="115">
        <v>0</v>
      </c>
      <c r="D90" s="111">
        <f t="shared" ca="1" si="8"/>
        <v>0</v>
      </c>
      <c r="E90" s="111">
        <f t="shared" ca="1" si="9"/>
        <v>0</v>
      </c>
      <c r="F90" s="111">
        <f t="shared" ca="1" si="5"/>
        <v>0</v>
      </c>
      <c r="G90" s="112">
        <f ca="1">IF(ROUND(SUM(B90:C90,-F90),0)=0,0,IF($B$6="Yes",SUM($C$9:C90),SUM(B90:C90,-F90)))</f>
        <v>0</v>
      </c>
    </row>
    <row r="91" spans="1:7" ht="16.149999999999999" customHeight="1" x14ac:dyDescent="0.25">
      <c r="A91" s="109">
        <f t="shared" ca="1" si="6"/>
        <v>48334</v>
      </c>
      <c r="B91" s="110">
        <f t="shared" ca="1" si="7"/>
        <v>0</v>
      </c>
      <c r="C91" s="115">
        <v>0</v>
      </c>
      <c r="D91" s="111">
        <f t="shared" ca="1" si="8"/>
        <v>0</v>
      </c>
      <c r="E91" s="111">
        <f t="shared" ca="1" si="9"/>
        <v>0</v>
      </c>
      <c r="F91" s="111">
        <f t="shared" ca="1" si="5"/>
        <v>0</v>
      </c>
      <c r="G91" s="112">
        <f ca="1">IF(ROUND(SUM(B91:C91,-F91),0)=0,0,IF($B$6="Yes",SUM($C$9:C91),SUM(B91:C91,-F91)))</f>
        <v>0</v>
      </c>
    </row>
    <row r="92" spans="1:7" ht="16.149999999999999" customHeight="1" x14ac:dyDescent="0.25">
      <c r="A92" s="109">
        <f t="shared" ca="1" si="6"/>
        <v>48365</v>
      </c>
      <c r="B92" s="110">
        <f t="shared" ca="1" si="7"/>
        <v>0</v>
      </c>
      <c r="C92" s="115">
        <v>0</v>
      </c>
      <c r="D92" s="111">
        <f t="shared" ca="1" si="8"/>
        <v>0</v>
      </c>
      <c r="E92" s="111">
        <f t="shared" ca="1" si="9"/>
        <v>0</v>
      </c>
      <c r="F92" s="111">
        <f t="shared" ca="1" si="5"/>
        <v>0</v>
      </c>
      <c r="G92" s="112">
        <f ca="1">IF(ROUND(SUM(B92:C92,-F92),0)=0,0,IF($B$6="Yes",SUM($C$9:C92),SUM(B92:C92,-F92)))</f>
        <v>0</v>
      </c>
    </row>
    <row r="93" spans="1:7" ht="16.149999999999999" customHeight="1" x14ac:dyDescent="0.25">
      <c r="A93" s="109">
        <f t="shared" ca="1" si="6"/>
        <v>48395</v>
      </c>
      <c r="B93" s="110">
        <f t="shared" ca="1" si="7"/>
        <v>0</v>
      </c>
      <c r="C93" s="115">
        <v>0</v>
      </c>
      <c r="D93" s="111">
        <f t="shared" ca="1" si="8"/>
        <v>0</v>
      </c>
      <c r="E93" s="111">
        <f t="shared" ca="1" si="9"/>
        <v>0</v>
      </c>
      <c r="F93" s="111">
        <f t="shared" ca="1" si="5"/>
        <v>0</v>
      </c>
      <c r="G93" s="112">
        <f ca="1">IF(ROUND(SUM(B93:C93,-F93),0)=0,0,IF($B$6="Yes",SUM($C$9:C93),SUM(B93:C93,-F93)))</f>
        <v>0</v>
      </c>
    </row>
    <row r="94" spans="1:7" ht="16.149999999999999" customHeight="1" x14ac:dyDescent="0.25">
      <c r="A94" s="109">
        <f t="shared" ca="1" si="6"/>
        <v>48426</v>
      </c>
      <c r="B94" s="110">
        <f t="shared" ca="1" si="7"/>
        <v>0</v>
      </c>
      <c r="C94" s="115">
        <v>0</v>
      </c>
      <c r="D94" s="111">
        <f t="shared" ca="1" si="8"/>
        <v>0</v>
      </c>
      <c r="E94" s="111">
        <f t="shared" ca="1" si="9"/>
        <v>0</v>
      </c>
      <c r="F94" s="111">
        <f t="shared" ca="1" si="5"/>
        <v>0</v>
      </c>
      <c r="G94" s="112">
        <f ca="1">IF(ROUND(SUM(B94:C94,-F94),0)=0,0,IF($B$6="Yes",SUM($C$9:C94),SUM(B94:C94,-F94)))</f>
        <v>0</v>
      </c>
    </row>
    <row r="95" spans="1:7" ht="16.149999999999999" customHeight="1" x14ac:dyDescent="0.25">
      <c r="A95" s="109">
        <f t="shared" ca="1" si="6"/>
        <v>48457</v>
      </c>
      <c r="B95" s="110">
        <f t="shared" ca="1" si="7"/>
        <v>0</v>
      </c>
      <c r="C95" s="115">
        <v>0</v>
      </c>
      <c r="D95" s="111">
        <f t="shared" ca="1" si="8"/>
        <v>0</v>
      </c>
      <c r="E95" s="111">
        <f t="shared" ca="1" si="9"/>
        <v>0</v>
      </c>
      <c r="F95" s="111">
        <f t="shared" ca="1" si="5"/>
        <v>0</v>
      </c>
      <c r="G95" s="112">
        <f ca="1">IF(ROUND(SUM(B95:C95,-F95),0)=0,0,IF($B$6="Yes",SUM($C$9:C95),SUM(B95:C95,-F95)))</f>
        <v>0</v>
      </c>
    </row>
    <row r="96" spans="1:7" ht="16.149999999999999" customHeight="1" x14ac:dyDescent="0.25">
      <c r="A96" s="109">
        <f t="shared" ca="1" si="6"/>
        <v>48487</v>
      </c>
      <c r="B96" s="110">
        <f t="shared" ca="1" si="7"/>
        <v>0</v>
      </c>
      <c r="C96" s="115">
        <v>0</v>
      </c>
      <c r="D96" s="111">
        <f t="shared" ca="1" si="8"/>
        <v>0</v>
      </c>
      <c r="E96" s="111">
        <f t="shared" ca="1" si="9"/>
        <v>0</v>
      </c>
      <c r="F96" s="111">
        <f t="shared" ca="1" si="5"/>
        <v>0</v>
      </c>
      <c r="G96" s="112">
        <f ca="1">IF(ROUND(SUM(B96:C96,-F96),0)=0,0,IF($B$6="Yes",SUM($C$9:C96),SUM(B96:C96,-F96)))</f>
        <v>0</v>
      </c>
    </row>
    <row r="97" spans="1:7" ht="16.149999999999999" customHeight="1" x14ac:dyDescent="0.25">
      <c r="A97" s="109">
        <f t="shared" ca="1" si="6"/>
        <v>48518</v>
      </c>
      <c r="B97" s="110">
        <f t="shared" ca="1" si="7"/>
        <v>0</v>
      </c>
      <c r="C97" s="115">
        <v>0</v>
      </c>
      <c r="D97" s="111">
        <f t="shared" ca="1" si="8"/>
        <v>0</v>
      </c>
      <c r="E97" s="111">
        <f t="shared" ca="1" si="9"/>
        <v>0</v>
      </c>
      <c r="F97" s="111">
        <f t="shared" ca="1" si="5"/>
        <v>0</v>
      </c>
      <c r="G97" s="112">
        <f ca="1">IF(ROUND(SUM(B97:C97,-F97),0)=0,0,IF($B$6="Yes",SUM($C$9:C97),SUM(B97:C97,-F97)))</f>
        <v>0</v>
      </c>
    </row>
    <row r="98" spans="1:7" ht="16.149999999999999" customHeight="1" x14ac:dyDescent="0.25">
      <c r="A98" s="109">
        <f t="shared" ca="1" si="6"/>
        <v>48548</v>
      </c>
      <c r="B98" s="110">
        <f t="shared" ca="1" si="7"/>
        <v>0</v>
      </c>
      <c r="C98" s="115">
        <v>0</v>
      </c>
      <c r="D98" s="111">
        <f t="shared" ca="1" si="8"/>
        <v>0</v>
      </c>
      <c r="E98" s="111">
        <f t="shared" ca="1" si="9"/>
        <v>0</v>
      </c>
      <c r="F98" s="111">
        <f t="shared" ca="1" si="5"/>
        <v>0</v>
      </c>
      <c r="G98" s="112">
        <f ca="1">IF(ROUND(SUM(B98:C98,-F98),0)=0,0,IF($B$6="Yes",SUM($C$9:C98),SUM(B98:C98,-F98)))</f>
        <v>0</v>
      </c>
    </row>
    <row r="99" spans="1:7" ht="16.149999999999999" customHeight="1" x14ac:dyDescent="0.25">
      <c r="A99" s="109">
        <f t="shared" ca="1" si="6"/>
        <v>48579</v>
      </c>
      <c r="B99" s="110">
        <f t="shared" ca="1" si="7"/>
        <v>0</v>
      </c>
      <c r="C99" s="115">
        <v>0</v>
      </c>
      <c r="D99" s="111">
        <f t="shared" ca="1" si="8"/>
        <v>0</v>
      </c>
      <c r="E99" s="111">
        <f t="shared" ca="1" si="9"/>
        <v>0</v>
      </c>
      <c r="F99" s="111">
        <f t="shared" ca="1" si="5"/>
        <v>0</v>
      </c>
      <c r="G99" s="112">
        <f ca="1">IF(ROUND(SUM(B99:C99,-F99),0)=0,0,IF($B$6="Yes",SUM($C$9:C99),SUM(B99:C99,-F99)))</f>
        <v>0</v>
      </c>
    </row>
    <row r="100" spans="1:7" ht="16.149999999999999" customHeight="1" x14ac:dyDescent="0.25">
      <c r="A100" s="109">
        <f t="shared" ca="1" si="6"/>
        <v>48610</v>
      </c>
      <c r="B100" s="110">
        <f t="shared" ca="1" si="7"/>
        <v>0</v>
      </c>
      <c r="C100" s="115">
        <v>0</v>
      </c>
      <c r="D100" s="111">
        <f t="shared" ca="1" si="8"/>
        <v>0</v>
      </c>
      <c r="E100" s="111">
        <f t="shared" ca="1" si="9"/>
        <v>0</v>
      </c>
      <c r="F100" s="111">
        <f t="shared" ca="1" si="5"/>
        <v>0</v>
      </c>
      <c r="G100" s="112">
        <f ca="1">IF(ROUND(SUM(B100:C100,-F100),0)=0,0,IF($B$6="Yes",SUM($C$9:C100),SUM(B100:C100,-F100)))</f>
        <v>0</v>
      </c>
    </row>
    <row r="101" spans="1:7" ht="16.149999999999999" customHeight="1" x14ac:dyDescent="0.25">
      <c r="A101" s="109">
        <f t="shared" ca="1" si="6"/>
        <v>48638</v>
      </c>
      <c r="B101" s="110">
        <f t="shared" ca="1" si="7"/>
        <v>0</v>
      </c>
      <c r="C101" s="115">
        <v>0</v>
      </c>
      <c r="D101" s="111">
        <f t="shared" ca="1" si="8"/>
        <v>0</v>
      </c>
      <c r="E101" s="111">
        <f t="shared" ca="1" si="9"/>
        <v>0</v>
      </c>
      <c r="F101" s="111">
        <f t="shared" ca="1" si="5"/>
        <v>0</v>
      </c>
      <c r="G101" s="112">
        <f ca="1">IF(ROUND(SUM(B101:C101,-F101),0)=0,0,IF($B$6="Yes",SUM($C$9:C101),SUM(B101:C101,-F101)))</f>
        <v>0</v>
      </c>
    </row>
    <row r="102" spans="1:7" ht="16.149999999999999" customHeight="1" x14ac:dyDescent="0.25">
      <c r="A102" s="109">
        <f t="shared" ca="1" si="6"/>
        <v>48669</v>
      </c>
      <c r="B102" s="110">
        <f t="shared" ca="1" si="7"/>
        <v>0</v>
      </c>
      <c r="C102" s="115">
        <v>0</v>
      </c>
      <c r="D102" s="111">
        <f t="shared" ca="1" si="8"/>
        <v>0</v>
      </c>
      <c r="E102" s="111">
        <f t="shared" ca="1" si="9"/>
        <v>0</v>
      </c>
      <c r="F102" s="111">
        <f t="shared" ca="1" si="5"/>
        <v>0</v>
      </c>
      <c r="G102" s="112">
        <f ca="1">IF(ROUND(SUM(B102:C102,-F102),0)=0,0,IF($B$6="Yes",SUM($C$9:C102),SUM(B102:C102,-F102)))</f>
        <v>0</v>
      </c>
    </row>
    <row r="103" spans="1:7" ht="16.149999999999999" customHeight="1" x14ac:dyDescent="0.25">
      <c r="A103" s="109">
        <f t="shared" ca="1" si="6"/>
        <v>48699</v>
      </c>
      <c r="B103" s="110">
        <f t="shared" ca="1" si="7"/>
        <v>0</v>
      </c>
      <c r="C103" s="115">
        <v>0</v>
      </c>
      <c r="D103" s="111">
        <f t="shared" ca="1" si="8"/>
        <v>0</v>
      </c>
      <c r="E103" s="111">
        <f t="shared" ca="1" si="9"/>
        <v>0</v>
      </c>
      <c r="F103" s="111">
        <f t="shared" ca="1" si="5"/>
        <v>0</v>
      </c>
      <c r="G103" s="112">
        <f ca="1">IF(ROUND(SUM(B103:C103,-F103),0)=0,0,IF($B$6="Yes",SUM($C$9:C103),SUM(B103:C103,-F103)))</f>
        <v>0</v>
      </c>
    </row>
    <row r="104" spans="1:7" ht="16.149999999999999" customHeight="1" x14ac:dyDescent="0.25">
      <c r="A104" s="109">
        <f t="shared" ca="1" si="6"/>
        <v>48730</v>
      </c>
      <c r="B104" s="110">
        <f t="shared" ca="1" si="7"/>
        <v>0</v>
      </c>
      <c r="C104" s="115">
        <v>0</v>
      </c>
      <c r="D104" s="111">
        <f t="shared" ca="1" si="8"/>
        <v>0</v>
      </c>
      <c r="E104" s="111">
        <f t="shared" ca="1" si="9"/>
        <v>0</v>
      </c>
      <c r="F104" s="111">
        <f t="shared" ca="1" si="5"/>
        <v>0</v>
      </c>
      <c r="G104" s="112">
        <f ca="1">IF(ROUND(SUM(B104:C104,-F104),0)=0,0,IF($B$6="Yes",SUM($C$9:C104),SUM(B104:C104,-F104)))</f>
        <v>0</v>
      </c>
    </row>
    <row r="105" spans="1:7" ht="16.149999999999999" customHeight="1" x14ac:dyDescent="0.25">
      <c r="A105" s="109">
        <f t="shared" ca="1" si="6"/>
        <v>48760</v>
      </c>
      <c r="B105" s="110">
        <f t="shared" ca="1" si="7"/>
        <v>0</v>
      </c>
      <c r="C105" s="115">
        <v>0</v>
      </c>
      <c r="D105" s="111">
        <f t="shared" ca="1" si="8"/>
        <v>0</v>
      </c>
      <c r="E105" s="111">
        <f t="shared" ca="1" si="9"/>
        <v>0</v>
      </c>
      <c r="F105" s="111">
        <f t="shared" ca="1" si="5"/>
        <v>0</v>
      </c>
      <c r="G105" s="112">
        <f ca="1">IF(ROUND(SUM(B105:C105,-F105),0)=0,0,IF($B$6="Yes",SUM($C$9:C105),SUM(B105:C105,-F105)))</f>
        <v>0</v>
      </c>
    </row>
    <row r="106" spans="1:7" ht="16.149999999999999" customHeight="1" x14ac:dyDescent="0.25">
      <c r="A106" s="109">
        <f t="shared" ca="1" si="6"/>
        <v>48791</v>
      </c>
      <c r="B106" s="110">
        <f t="shared" ca="1" si="7"/>
        <v>0</v>
      </c>
      <c r="C106" s="115">
        <v>0</v>
      </c>
      <c r="D106" s="111">
        <f t="shared" ca="1" si="8"/>
        <v>0</v>
      </c>
      <c r="E106" s="111">
        <f t="shared" ca="1" si="9"/>
        <v>0</v>
      </c>
      <c r="F106" s="111">
        <f t="shared" ca="1" si="5"/>
        <v>0</v>
      </c>
      <c r="G106" s="112">
        <f ca="1">IF(ROUND(SUM(B106:C106,-F106),0)=0,0,IF($B$6="Yes",SUM($C$9:C106),SUM(B106:C106,-F106)))</f>
        <v>0</v>
      </c>
    </row>
    <row r="107" spans="1:7" ht="16.149999999999999" customHeight="1" x14ac:dyDescent="0.25">
      <c r="A107" s="109">
        <f t="shared" ca="1" si="6"/>
        <v>48822</v>
      </c>
      <c r="B107" s="110">
        <f t="shared" ca="1" si="7"/>
        <v>0</v>
      </c>
      <c r="C107" s="115">
        <v>0</v>
      </c>
      <c r="D107" s="111">
        <f t="shared" ca="1" si="8"/>
        <v>0</v>
      </c>
      <c r="E107" s="111">
        <f t="shared" ca="1" si="9"/>
        <v>0</v>
      </c>
      <c r="F107" s="111">
        <f t="shared" ca="1" si="5"/>
        <v>0</v>
      </c>
      <c r="G107" s="112">
        <f ca="1">IF(ROUND(SUM(B107:C107,-F107),0)=0,0,IF($B$6="Yes",SUM($C$9:C107),SUM(B107:C107,-F107)))</f>
        <v>0</v>
      </c>
    </row>
    <row r="108" spans="1:7" ht="16.149999999999999" customHeight="1" x14ac:dyDescent="0.25">
      <c r="A108" s="109">
        <f t="shared" ca="1" si="6"/>
        <v>48852</v>
      </c>
      <c r="B108" s="110">
        <f t="shared" ca="1" si="7"/>
        <v>0</v>
      </c>
      <c r="C108" s="115">
        <v>0</v>
      </c>
      <c r="D108" s="111">
        <f t="shared" ca="1" si="8"/>
        <v>0</v>
      </c>
      <c r="E108" s="111">
        <f t="shared" ca="1" si="9"/>
        <v>0</v>
      </c>
      <c r="F108" s="111">
        <f t="shared" ca="1" si="5"/>
        <v>0</v>
      </c>
      <c r="G108" s="112">
        <f ca="1">IF(ROUND(SUM(B108:C108,-F108),0)=0,0,IF($B$6="Yes",SUM($C$9:C108),SUM(B108:C108,-F108)))</f>
        <v>0</v>
      </c>
    </row>
    <row r="109" spans="1:7" ht="16.149999999999999" customHeight="1" x14ac:dyDescent="0.25">
      <c r="A109" s="109">
        <f t="shared" ca="1" si="6"/>
        <v>48883</v>
      </c>
      <c r="B109" s="110">
        <f t="shared" ca="1" si="7"/>
        <v>0</v>
      </c>
      <c r="C109" s="115">
        <v>0</v>
      </c>
      <c r="D109" s="111">
        <f t="shared" ca="1" si="8"/>
        <v>0</v>
      </c>
      <c r="E109" s="111">
        <f t="shared" ca="1" si="9"/>
        <v>0</v>
      </c>
      <c r="F109" s="111">
        <f t="shared" ca="1" si="5"/>
        <v>0</v>
      </c>
      <c r="G109" s="112">
        <f ca="1">IF(ROUND(SUM(B109:C109,-F109),0)=0,0,IF($B$6="Yes",SUM($C$9:C109),SUM(B109:C109,-F109)))</f>
        <v>0</v>
      </c>
    </row>
    <row r="110" spans="1:7" ht="16.149999999999999" customHeight="1" x14ac:dyDescent="0.25">
      <c r="A110" s="109">
        <f t="shared" ca="1" si="6"/>
        <v>48913</v>
      </c>
      <c r="B110" s="110">
        <f t="shared" ca="1" si="7"/>
        <v>0</v>
      </c>
      <c r="C110" s="115">
        <v>0</v>
      </c>
      <c r="D110" s="111">
        <f t="shared" ca="1" si="8"/>
        <v>0</v>
      </c>
      <c r="E110" s="111">
        <f t="shared" ca="1" si="9"/>
        <v>0</v>
      </c>
      <c r="F110" s="111">
        <f t="shared" ca="1" si="5"/>
        <v>0</v>
      </c>
      <c r="G110" s="112">
        <f ca="1">IF(ROUND(SUM(B110:C110,-F110),0)=0,0,IF($B$6="Yes",SUM($C$9:C110),SUM(B110:C110,-F110)))</f>
        <v>0</v>
      </c>
    </row>
    <row r="111" spans="1:7" ht="16.149999999999999" customHeight="1" x14ac:dyDescent="0.25">
      <c r="A111" s="109">
        <f t="shared" ca="1" si="6"/>
        <v>48944</v>
      </c>
      <c r="B111" s="110">
        <f t="shared" ca="1" si="7"/>
        <v>0</v>
      </c>
      <c r="C111" s="115">
        <v>0</v>
      </c>
      <c r="D111" s="111">
        <f t="shared" ca="1" si="8"/>
        <v>0</v>
      </c>
      <c r="E111" s="111">
        <f t="shared" ca="1" si="9"/>
        <v>0</v>
      </c>
      <c r="F111" s="111">
        <f t="shared" ca="1" si="5"/>
        <v>0</v>
      </c>
      <c r="G111" s="112">
        <f ca="1">IF(ROUND(SUM(B111:C111,-F111),0)=0,0,IF($B$6="Yes",SUM($C$9:C111),SUM(B111:C111,-F111)))</f>
        <v>0</v>
      </c>
    </row>
    <row r="112" spans="1:7" ht="16.149999999999999" customHeight="1" x14ac:dyDescent="0.25">
      <c r="A112" s="109">
        <f t="shared" ca="1" si="6"/>
        <v>48975</v>
      </c>
      <c r="B112" s="110">
        <f t="shared" ca="1" si="7"/>
        <v>0</v>
      </c>
      <c r="C112" s="115">
        <v>0</v>
      </c>
      <c r="D112" s="111">
        <f t="shared" ca="1" si="8"/>
        <v>0</v>
      </c>
      <c r="E112" s="111">
        <f t="shared" ca="1" si="9"/>
        <v>0</v>
      </c>
      <c r="F112" s="111">
        <f t="shared" ca="1" si="5"/>
        <v>0</v>
      </c>
      <c r="G112" s="112">
        <f ca="1">IF(ROUND(SUM(B112:C112,-F112),0)=0,0,IF($B$6="Yes",SUM($C$9:C112),SUM(B112:C112,-F112)))</f>
        <v>0</v>
      </c>
    </row>
    <row r="113" spans="1:7" ht="16.149999999999999" customHeight="1" x14ac:dyDescent="0.25">
      <c r="A113" s="109">
        <f t="shared" ca="1" si="6"/>
        <v>49003</v>
      </c>
      <c r="B113" s="110">
        <f t="shared" ca="1" si="7"/>
        <v>0</v>
      </c>
      <c r="C113" s="115">
        <v>0</v>
      </c>
      <c r="D113" s="111">
        <f t="shared" ca="1" si="8"/>
        <v>0</v>
      </c>
      <c r="E113" s="111">
        <f t="shared" ca="1" si="9"/>
        <v>0</v>
      </c>
      <c r="F113" s="111">
        <f t="shared" ca="1" si="5"/>
        <v>0</v>
      </c>
      <c r="G113" s="112">
        <f ca="1">IF(ROUND(SUM(B113:C113,-F113),0)=0,0,IF($B$6="Yes",SUM($C$9:C113),SUM(B113:C113,-F113)))</f>
        <v>0</v>
      </c>
    </row>
    <row r="114" spans="1:7" ht="16.149999999999999" customHeight="1" x14ac:dyDescent="0.25">
      <c r="A114" s="109">
        <f t="shared" ca="1" si="6"/>
        <v>49034</v>
      </c>
      <c r="B114" s="110">
        <f t="shared" ca="1" si="7"/>
        <v>0</v>
      </c>
      <c r="C114" s="115">
        <v>0</v>
      </c>
      <c r="D114" s="111">
        <f t="shared" ca="1" si="8"/>
        <v>0</v>
      </c>
      <c r="E114" s="111">
        <f t="shared" ca="1" si="9"/>
        <v>0</v>
      </c>
      <c r="F114" s="111">
        <f t="shared" ca="1" si="5"/>
        <v>0</v>
      </c>
      <c r="G114" s="112">
        <f ca="1">IF(ROUND(SUM(B114:C114,-F114),0)=0,0,IF($B$6="Yes",SUM($C$9:C114),SUM(B114:C114,-F114)))</f>
        <v>0</v>
      </c>
    </row>
    <row r="115" spans="1:7" ht="16.149999999999999" customHeight="1" x14ac:dyDescent="0.25">
      <c r="A115" s="109">
        <f t="shared" ca="1" si="6"/>
        <v>49064</v>
      </c>
      <c r="B115" s="110">
        <f t="shared" ca="1" si="7"/>
        <v>0</v>
      </c>
      <c r="C115" s="115">
        <v>0</v>
      </c>
      <c r="D115" s="111">
        <f t="shared" ca="1" si="8"/>
        <v>0</v>
      </c>
      <c r="E115" s="111">
        <f t="shared" ca="1" si="9"/>
        <v>0</v>
      </c>
      <c r="F115" s="111">
        <f t="shared" ca="1" si="5"/>
        <v>0</v>
      </c>
      <c r="G115" s="112">
        <f ca="1">IF(ROUND(SUM(B115:C115,-F115),0)=0,0,IF($B$6="Yes",SUM($C$9:C115),SUM(B115:C115,-F115)))</f>
        <v>0</v>
      </c>
    </row>
    <row r="116" spans="1:7" ht="16.149999999999999" customHeight="1" x14ac:dyDescent="0.25">
      <c r="A116" s="109">
        <f t="shared" ca="1" si="6"/>
        <v>49095</v>
      </c>
      <c r="B116" s="110">
        <f t="shared" ca="1" si="7"/>
        <v>0</v>
      </c>
      <c r="C116" s="115">
        <v>0</v>
      </c>
      <c r="D116" s="111">
        <f t="shared" ca="1" si="8"/>
        <v>0</v>
      </c>
      <c r="E116" s="111">
        <f t="shared" ca="1" si="9"/>
        <v>0</v>
      </c>
      <c r="F116" s="111">
        <f t="shared" ca="1" si="5"/>
        <v>0</v>
      </c>
      <c r="G116" s="112">
        <f ca="1">IF(ROUND(SUM(B116:C116,-F116),0)=0,0,IF($B$6="Yes",SUM($C$9:C116),SUM(B116:C116,-F116)))</f>
        <v>0</v>
      </c>
    </row>
    <row r="117" spans="1:7" ht="16.149999999999999" customHeight="1" x14ac:dyDescent="0.25">
      <c r="A117" s="109">
        <f t="shared" ca="1" si="6"/>
        <v>49125</v>
      </c>
      <c r="B117" s="110">
        <f t="shared" ca="1" si="7"/>
        <v>0</v>
      </c>
      <c r="C117" s="115">
        <v>0</v>
      </c>
      <c r="D117" s="111">
        <f t="shared" ca="1" si="8"/>
        <v>0</v>
      </c>
      <c r="E117" s="111">
        <f t="shared" ca="1" si="9"/>
        <v>0</v>
      </c>
      <c r="F117" s="111">
        <f t="shared" ca="1" si="5"/>
        <v>0</v>
      </c>
      <c r="G117" s="112">
        <f ca="1">IF(ROUND(SUM(B117:C117,-F117),0)=0,0,IF($B$6="Yes",SUM($C$9:C117),SUM(B117:C117,-F117)))</f>
        <v>0</v>
      </c>
    </row>
    <row r="118" spans="1:7" ht="16.149999999999999" customHeight="1" x14ac:dyDescent="0.25">
      <c r="A118" s="109">
        <f t="shared" ca="1" si="6"/>
        <v>49156</v>
      </c>
      <c r="B118" s="110">
        <f t="shared" ca="1" si="7"/>
        <v>0</v>
      </c>
      <c r="C118" s="115">
        <v>0</v>
      </c>
      <c r="D118" s="111">
        <f t="shared" ca="1" si="8"/>
        <v>0</v>
      </c>
      <c r="E118" s="111">
        <f t="shared" ca="1" si="9"/>
        <v>0</v>
      </c>
      <c r="F118" s="111">
        <f t="shared" ca="1" si="5"/>
        <v>0</v>
      </c>
      <c r="G118" s="112">
        <f ca="1">IF(ROUND(SUM(B118:C118,-F118),0)=0,0,IF($B$6="Yes",SUM($C$9:C118),SUM(B118:C118,-F118)))</f>
        <v>0</v>
      </c>
    </row>
    <row r="119" spans="1:7" ht="16.149999999999999" customHeight="1" x14ac:dyDescent="0.25">
      <c r="A119" s="109">
        <f t="shared" ca="1" si="6"/>
        <v>49187</v>
      </c>
      <c r="B119" s="110">
        <f t="shared" ca="1" si="7"/>
        <v>0</v>
      </c>
      <c r="C119" s="115">
        <v>0</v>
      </c>
      <c r="D119" s="111">
        <f t="shared" ca="1" si="8"/>
        <v>0</v>
      </c>
      <c r="E119" s="111">
        <f t="shared" ca="1" si="9"/>
        <v>0</v>
      </c>
      <c r="F119" s="111">
        <f t="shared" ca="1" si="5"/>
        <v>0</v>
      </c>
      <c r="G119" s="112">
        <f ca="1">IF(ROUND(SUM(B119:C119,-F119),0)=0,0,IF($B$6="Yes",SUM($C$9:C119),SUM(B119:C119,-F119)))</f>
        <v>0</v>
      </c>
    </row>
    <row r="120" spans="1:7" ht="16.149999999999999" customHeight="1" x14ac:dyDescent="0.25">
      <c r="A120" s="109">
        <f t="shared" ca="1" si="6"/>
        <v>49217</v>
      </c>
      <c r="B120" s="110">
        <f t="shared" ca="1" si="7"/>
        <v>0</v>
      </c>
      <c r="C120" s="115">
        <v>0</v>
      </c>
      <c r="D120" s="111">
        <f t="shared" ca="1" si="8"/>
        <v>0</v>
      </c>
      <c r="E120" s="111">
        <f t="shared" ca="1" si="9"/>
        <v>0</v>
      </c>
      <c r="F120" s="111">
        <f t="shared" ca="1" si="5"/>
        <v>0</v>
      </c>
      <c r="G120" s="112">
        <f ca="1">IF(ROUND(SUM(B120:C120,-F120),0)=0,0,IF($B$6="Yes",SUM($C$9:C120),SUM(B120:C120,-F120)))</f>
        <v>0</v>
      </c>
    </row>
    <row r="121" spans="1:7" ht="16.149999999999999" customHeight="1" x14ac:dyDescent="0.25">
      <c r="A121" s="109">
        <f t="shared" ca="1" si="6"/>
        <v>49248</v>
      </c>
      <c r="B121" s="110">
        <f t="shared" ca="1" si="7"/>
        <v>0</v>
      </c>
      <c r="C121" s="115">
        <v>0</v>
      </c>
      <c r="D121" s="111">
        <f t="shared" ca="1" si="8"/>
        <v>0</v>
      </c>
      <c r="E121" s="111">
        <f t="shared" ca="1" si="9"/>
        <v>0</v>
      </c>
      <c r="F121" s="111">
        <f t="shared" ca="1" si="5"/>
        <v>0</v>
      </c>
      <c r="G121" s="112">
        <f ca="1">IF(ROUND(SUM(B121:C121,-F121),0)=0,0,IF($B$6="Yes",SUM($C$9:C121),SUM(B121:C121,-F121)))</f>
        <v>0</v>
      </c>
    </row>
    <row r="122" spans="1:7" ht="16.149999999999999" customHeight="1" x14ac:dyDescent="0.25">
      <c r="A122" s="109">
        <f t="shared" ca="1" si="6"/>
        <v>49278</v>
      </c>
      <c r="B122" s="110">
        <f t="shared" ca="1" si="7"/>
        <v>0</v>
      </c>
      <c r="C122" s="115">
        <v>0</v>
      </c>
      <c r="D122" s="111">
        <f t="shared" ca="1" si="8"/>
        <v>0</v>
      </c>
      <c r="E122" s="111">
        <f t="shared" ca="1" si="9"/>
        <v>0</v>
      </c>
      <c r="F122" s="111">
        <f t="shared" ca="1" si="5"/>
        <v>0</v>
      </c>
      <c r="G122" s="112">
        <f ca="1">IF(ROUND(SUM(B122:C122,-F122),0)=0,0,IF($B$6="Yes",SUM($C$9:C122),SUM(B122:C122,-F122)))</f>
        <v>0</v>
      </c>
    </row>
    <row r="123" spans="1:7" ht="16.149999999999999" customHeight="1" x14ac:dyDescent="0.25">
      <c r="A123" s="109">
        <f t="shared" ca="1" si="6"/>
        <v>49309</v>
      </c>
      <c r="B123" s="110">
        <f t="shared" ca="1" si="7"/>
        <v>0</v>
      </c>
      <c r="C123" s="115">
        <v>0</v>
      </c>
      <c r="D123" s="111">
        <f t="shared" ca="1" si="8"/>
        <v>0</v>
      </c>
      <c r="E123" s="111">
        <f t="shared" ca="1" si="9"/>
        <v>0</v>
      </c>
      <c r="F123" s="111">
        <f t="shared" ca="1" si="5"/>
        <v>0</v>
      </c>
      <c r="G123" s="112">
        <f ca="1">IF(ROUND(SUM(B123:C123,-F123),0)=0,0,IF($B$6="Yes",SUM($C$9:C123),SUM(B123:C123,-F123)))</f>
        <v>0</v>
      </c>
    </row>
    <row r="124" spans="1:7" ht="16.149999999999999" customHeight="1" x14ac:dyDescent="0.25">
      <c r="A124" s="109">
        <f t="shared" ca="1" si="6"/>
        <v>49340</v>
      </c>
      <c r="B124" s="110">
        <f t="shared" ca="1" si="7"/>
        <v>0</v>
      </c>
      <c r="C124" s="115">
        <v>0</v>
      </c>
      <c r="D124" s="111">
        <f t="shared" ca="1" si="8"/>
        <v>0</v>
      </c>
      <c r="E124" s="111">
        <f t="shared" ca="1" si="9"/>
        <v>0</v>
      </c>
      <c r="F124" s="111">
        <f t="shared" ca="1" si="5"/>
        <v>0</v>
      </c>
      <c r="G124" s="112">
        <f ca="1">IF(ROUND(SUM(B124:C124,-F124),0)=0,0,IF($B$6="Yes",SUM($C$9:C124),SUM(B124:C124,-F124)))</f>
        <v>0</v>
      </c>
    </row>
    <row r="125" spans="1:7" ht="16.149999999999999" customHeight="1" x14ac:dyDescent="0.25">
      <c r="A125" s="109">
        <f t="shared" ca="1" si="6"/>
        <v>49368</v>
      </c>
      <c r="B125" s="110">
        <f t="shared" ca="1" si="7"/>
        <v>0</v>
      </c>
      <c r="C125" s="115">
        <v>0</v>
      </c>
      <c r="D125" s="111">
        <f t="shared" ca="1" si="8"/>
        <v>0</v>
      </c>
      <c r="E125" s="111">
        <f t="shared" ca="1" si="9"/>
        <v>0</v>
      </c>
      <c r="F125" s="111">
        <f t="shared" ca="1" si="5"/>
        <v>0</v>
      </c>
      <c r="G125" s="112">
        <f ca="1">IF(ROUND(SUM(B125:C125,-F125),0)=0,0,IF($B$6="Yes",SUM($C$9:C125),SUM(B125:C125,-F125)))</f>
        <v>0</v>
      </c>
    </row>
    <row r="126" spans="1:7" ht="16.149999999999999" customHeight="1" x14ac:dyDescent="0.25">
      <c r="A126" s="109">
        <f ca="1">DATE(YEAR(A125),MONTH(A125)+2,0)</f>
        <v>49399</v>
      </c>
      <c r="B126" s="110">
        <f t="shared" ca="1" si="7"/>
        <v>0</v>
      </c>
      <c r="C126" s="115">
        <v>0</v>
      </c>
      <c r="D126" s="111">
        <f t="shared" ca="1" si="8"/>
        <v>0</v>
      </c>
      <c r="E126" s="111">
        <f t="shared" ca="1" si="9"/>
        <v>0</v>
      </c>
      <c r="F126" s="111">
        <f t="shared" ca="1" si="5"/>
        <v>0</v>
      </c>
      <c r="G126" s="112">
        <f ca="1">IF(ROUND(SUM(B126:C126,-F126),0)=0,0,IF($B$6="Yes",SUM($C$9:C126),SUM(B126:C126,-F126)))</f>
        <v>0</v>
      </c>
    </row>
    <row r="127" spans="1:7" ht="16.149999999999999" customHeight="1" x14ac:dyDescent="0.25">
      <c r="A127" s="109">
        <f ca="1">DATE(YEAR(A126),MONTH(A126)+2,0)</f>
        <v>49429</v>
      </c>
      <c r="B127" s="110">
        <f t="shared" ca="1" si="7"/>
        <v>0</v>
      </c>
      <c r="C127" s="115">
        <v>0</v>
      </c>
      <c r="D127" s="111">
        <f t="shared" ca="1" si="8"/>
        <v>0</v>
      </c>
      <c r="E127" s="111">
        <f t="shared" ca="1" si="9"/>
        <v>0</v>
      </c>
      <c r="F127" s="111">
        <f t="shared" ca="1" si="5"/>
        <v>0</v>
      </c>
      <c r="G127" s="112">
        <f ca="1">IF(ROUND(SUM(B127:C127,-F127),0)=0,0,IF($B$6="Yes",SUM($C$9:C127),SUM(B127:C127,-F127)))</f>
        <v>0</v>
      </c>
    </row>
    <row r="128" spans="1:7" ht="16.149999999999999" customHeight="1" x14ac:dyDescent="0.25">
      <c r="A128" s="109">
        <f ca="1">DATE(YEAR(A127),MONTH(A127)+2,0)</f>
        <v>49460</v>
      </c>
      <c r="B128" s="110">
        <f t="shared" ca="1" si="7"/>
        <v>0</v>
      </c>
      <c r="C128" s="115">
        <v>0</v>
      </c>
      <c r="D128" s="111">
        <f t="shared" ca="1" si="8"/>
        <v>0</v>
      </c>
      <c r="E128" s="111">
        <f t="shared" ca="1" si="9"/>
        <v>0</v>
      </c>
      <c r="F128" s="111">
        <f t="shared" ca="1" si="5"/>
        <v>0</v>
      </c>
      <c r="G128" s="112">
        <f ca="1">IF(ROUND(SUM(B128:C128,-F128),0)=0,0,IF($B$6="Yes",SUM($C$9:C128),SUM(B128:C128,-F128)))</f>
        <v>0</v>
      </c>
    </row>
    <row r="129" spans="1:7" ht="16.149999999999999" customHeight="1" x14ac:dyDescent="0.25">
      <c r="A129" s="109">
        <f t="shared" ref="A129:A165" ca="1" si="10">DATE(YEAR(A128),MONTH(A128)+2,0)</f>
        <v>49490</v>
      </c>
      <c r="B129" s="110">
        <f t="shared" ca="1" si="7"/>
        <v>0</v>
      </c>
      <c r="C129" s="115">
        <v>0</v>
      </c>
      <c r="D129" s="111">
        <f t="shared" ca="1" si="8"/>
        <v>0</v>
      </c>
      <c r="E129" s="111">
        <f t="shared" ca="1" si="9"/>
        <v>0</v>
      </c>
      <c r="F129" s="111">
        <f t="shared" ca="1" si="5"/>
        <v>0</v>
      </c>
      <c r="G129" s="112">
        <f ca="1">IF(ROUND(SUM(B129:C129,-F129),0)=0,0,IF($B$6="Yes",SUM($C$9:C129),SUM(B129:C129,-F129)))</f>
        <v>0</v>
      </c>
    </row>
    <row r="130" spans="1:7" ht="16.149999999999999" customHeight="1" x14ac:dyDescent="0.25">
      <c r="A130" s="109">
        <f t="shared" ca="1" si="10"/>
        <v>49521</v>
      </c>
      <c r="B130" s="110">
        <f t="shared" ca="1" si="7"/>
        <v>0</v>
      </c>
      <c r="C130" s="115">
        <v>0</v>
      </c>
      <c r="D130" s="111">
        <f t="shared" ca="1" si="8"/>
        <v>0</v>
      </c>
      <c r="E130" s="111">
        <f t="shared" ca="1" si="9"/>
        <v>0</v>
      </c>
      <c r="F130" s="111">
        <f t="shared" ca="1" si="5"/>
        <v>0</v>
      </c>
      <c r="G130" s="112">
        <f ca="1">IF(ROUND(SUM(B130:C130,-F130),0)=0,0,IF($B$6="Yes",SUM($C$9:C130),SUM(B130:C130,-F130)))</f>
        <v>0</v>
      </c>
    </row>
    <row r="131" spans="1:7" ht="16.149999999999999" customHeight="1" x14ac:dyDescent="0.25">
      <c r="A131" s="109">
        <f t="shared" ca="1" si="10"/>
        <v>49552</v>
      </c>
      <c r="B131" s="110">
        <f t="shared" ca="1" si="7"/>
        <v>0</v>
      </c>
      <c r="C131" s="115">
        <v>0</v>
      </c>
      <c r="D131" s="111">
        <f t="shared" ca="1" si="8"/>
        <v>0</v>
      </c>
      <c r="E131" s="111">
        <f t="shared" ca="1" si="9"/>
        <v>0</v>
      </c>
      <c r="F131" s="111">
        <f t="shared" ca="1" si="5"/>
        <v>0</v>
      </c>
      <c r="G131" s="112">
        <f ca="1">IF(ROUND(SUM(B131:C131,-F131),0)=0,0,IF($B$6="Yes",SUM($C$9:C131),SUM(B131:C131,-F131)))</f>
        <v>0</v>
      </c>
    </row>
    <row r="132" spans="1:7" ht="16.149999999999999" customHeight="1" x14ac:dyDescent="0.25">
      <c r="A132" s="109">
        <f t="shared" ca="1" si="10"/>
        <v>49582</v>
      </c>
      <c r="B132" s="110">
        <f t="shared" ca="1" si="7"/>
        <v>0</v>
      </c>
      <c r="C132" s="115">
        <v>0</v>
      </c>
      <c r="D132" s="111">
        <f t="shared" ca="1" si="8"/>
        <v>0</v>
      </c>
      <c r="E132" s="111">
        <f t="shared" ca="1" si="9"/>
        <v>0</v>
      </c>
      <c r="F132" s="111">
        <f t="shared" ca="1" si="5"/>
        <v>0</v>
      </c>
      <c r="G132" s="112">
        <f ca="1">IF(ROUND(SUM(B132:C132,-F132),0)=0,0,IF($B$6="Yes",SUM($C$9:C132),SUM(B132:C132,-F132)))</f>
        <v>0</v>
      </c>
    </row>
    <row r="133" spans="1:7" ht="16.149999999999999" customHeight="1" x14ac:dyDescent="0.25">
      <c r="A133" s="109">
        <f t="shared" ca="1" si="10"/>
        <v>49613</v>
      </c>
      <c r="B133" s="110">
        <f t="shared" ca="1" si="7"/>
        <v>0</v>
      </c>
      <c r="C133" s="115">
        <v>0</v>
      </c>
      <c r="D133" s="111">
        <f t="shared" ca="1" si="8"/>
        <v>0</v>
      </c>
      <c r="E133" s="111">
        <f t="shared" ca="1" si="9"/>
        <v>0</v>
      </c>
      <c r="F133" s="111">
        <f t="shared" ca="1" si="5"/>
        <v>0</v>
      </c>
      <c r="G133" s="112">
        <f ca="1">IF(ROUND(SUM(B133:C133,-F133),0)=0,0,IF($B$6="Yes",SUM($C$9:C133),SUM(B133:C133,-F133)))</f>
        <v>0</v>
      </c>
    </row>
    <row r="134" spans="1:7" ht="16.149999999999999" customHeight="1" x14ac:dyDescent="0.25">
      <c r="A134" s="109">
        <f t="shared" ca="1" si="10"/>
        <v>49643</v>
      </c>
      <c r="B134" s="110">
        <f t="shared" ca="1" si="7"/>
        <v>0</v>
      </c>
      <c r="C134" s="115">
        <v>0</v>
      </c>
      <c r="D134" s="111">
        <f t="shared" ca="1" si="8"/>
        <v>0</v>
      </c>
      <c r="E134" s="111">
        <f t="shared" ca="1" si="9"/>
        <v>0</v>
      </c>
      <c r="F134" s="111">
        <f t="shared" ca="1" si="5"/>
        <v>0</v>
      </c>
      <c r="G134" s="112">
        <f ca="1">IF(ROUND(SUM(B134:C134,-F134),0)=0,0,IF($B$6="Yes",SUM($C$9:C134),SUM(B134:C134,-F134)))</f>
        <v>0</v>
      </c>
    </row>
    <row r="135" spans="1:7" ht="16.149999999999999" customHeight="1" x14ac:dyDescent="0.25">
      <c r="A135" s="109">
        <f t="shared" ca="1" si="10"/>
        <v>49674</v>
      </c>
      <c r="B135" s="110">
        <f t="shared" ca="1" si="7"/>
        <v>0</v>
      </c>
      <c r="C135" s="115">
        <v>0</v>
      </c>
      <c r="D135" s="111">
        <f t="shared" ca="1" si="8"/>
        <v>0</v>
      </c>
      <c r="E135" s="111">
        <f t="shared" ca="1" si="9"/>
        <v>0</v>
      </c>
      <c r="F135" s="111">
        <f t="shared" ca="1" si="5"/>
        <v>0</v>
      </c>
      <c r="G135" s="112">
        <f ca="1">IF(ROUND(SUM(B135:C135,-F135),0)=0,0,IF($B$6="Yes",SUM($C$9:C135),SUM(B135:C135,-F135)))</f>
        <v>0</v>
      </c>
    </row>
    <row r="136" spans="1:7" ht="16.149999999999999" customHeight="1" x14ac:dyDescent="0.25">
      <c r="A136" s="109">
        <f t="shared" ca="1" si="10"/>
        <v>49705</v>
      </c>
      <c r="B136" s="110">
        <f t="shared" ca="1" si="7"/>
        <v>0</v>
      </c>
      <c r="C136" s="115">
        <v>0</v>
      </c>
      <c r="D136" s="111">
        <f t="shared" ca="1" si="8"/>
        <v>0</v>
      </c>
      <c r="E136" s="111">
        <f t="shared" ca="1" si="9"/>
        <v>0</v>
      </c>
      <c r="F136" s="111">
        <f t="shared" ca="1" si="5"/>
        <v>0</v>
      </c>
      <c r="G136" s="112">
        <f ca="1">IF(ROUND(SUM(B136:C136,-F136),0)=0,0,IF($B$6="Yes",SUM($C$9:C136),SUM(B136:C136,-F136)))</f>
        <v>0</v>
      </c>
    </row>
    <row r="137" spans="1:7" ht="16.149999999999999" customHeight="1" x14ac:dyDescent="0.25">
      <c r="A137" s="109">
        <f t="shared" ca="1" si="10"/>
        <v>49734</v>
      </c>
      <c r="B137" s="110">
        <f t="shared" ca="1" si="7"/>
        <v>0</v>
      </c>
      <c r="C137" s="115">
        <v>0</v>
      </c>
      <c r="D137" s="111">
        <f t="shared" ca="1" si="8"/>
        <v>0</v>
      </c>
      <c r="E137" s="111">
        <f t="shared" ca="1" si="9"/>
        <v>0</v>
      </c>
      <c r="F137" s="111">
        <f t="shared" ca="1" si="5"/>
        <v>0</v>
      </c>
      <c r="G137" s="112">
        <f ca="1">IF(ROUND(SUM(B137:C137,-F137),0)=0,0,IF($B$6="Yes",SUM($C$9:C137),SUM(B137:C137,-F137)))</f>
        <v>0</v>
      </c>
    </row>
    <row r="138" spans="1:7" ht="16.149999999999999" customHeight="1" x14ac:dyDescent="0.25">
      <c r="A138" s="109">
        <f t="shared" ca="1" si="10"/>
        <v>49765</v>
      </c>
      <c r="B138" s="110">
        <f t="shared" ca="1" si="7"/>
        <v>0</v>
      </c>
      <c r="C138" s="115">
        <v>0</v>
      </c>
      <c r="D138" s="111">
        <f t="shared" ca="1" si="8"/>
        <v>0</v>
      </c>
      <c r="E138" s="111">
        <f t="shared" ca="1" si="9"/>
        <v>0</v>
      </c>
      <c r="F138" s="111">
        <f t="shared" ref="F138:F165" ca="1" si="11">IF($B$6="Yes",0,D138-E138)</f>
        <v>0</v>
      </c>
      <c r="G138" s="112">
        <f ca="1">IF(ROUND(SUM(B138:C138,-F138),0)=0,0,IF($B$6="Yes",SUM($C$9:C138),SUM(B138:C138,-F138)))</f>
        <v>0</v>
      </c>
    </row>
    <row r="139" spans="1:7" ht="16.149999999999999" customHeight="1" x14ac:dyDescent="0.25">
      <c r="A139" s="109">
        <f t="shared" ca="1" si="10"/>
        <v>49795</v>
      </c>
      <c r="B139" s="110">
        <f t="shared" ref="B139:B165" ca="1" si="12">G138</f>
        <v>0</v>
      </c>
      <c r="C139" s="115">
        <v>0</v>
      </c>
      <c r="D139" s="111">
        <f t="shared" ref="D139:D165" ca="1" si="13">IF($B$6="Yes",0,IF(ROW(C139)-ROW($C$9)&gt;$B$5*12,-PMT($B$4/12,$B$5*12,SUM(OFFSET(C139,0,0,-$B$5*12,1)),0,0),-PMT($B$4/12,$B$5*12,SUM(OFFSET(C139,0,0,ROW($C$8)-ROW(C139),1)),0,0)))</f>
        <v>0</v>
      </c>
      <c r="E139" s="111">
        <f t="shared" ref="E139:E165" ca="1" si="14">(G138+C139)*$B$4/12</f>
        <v>0</v>
      </c>
      <c r="F139" s="111">
        <f t="shared" ca="1" si="11"/>
        <v>0</v>
      </c>
      <c r="G139" s="112">
        <f ca="1">IF(ROUND(SUM(B139:C139,-F139),0)=0,0,IF($B$6="Yes",SUM($C$9:C139),SUM(B139:C139,-F139)))</f>
        <v>0</v>
      </c>
    </row>
    <row r="140" spans="1:7" ht="16.149999999999999" customHeight="1" x14ac:dyDescent="0.25">
      <c r="A140" s="109">
        <f t="shared" ca="1" si="10"/>
        <v>49826</v>
      </c>
      <c r="B140" s="110">
        <f t="shared" ca="1" si="12"/>
        <v>0</v>
      </c>
      <c r="C140" s="115">
        <v>0</v>
      </c>
      <c r="D140" s="111">
        <f t="shared" ca="1" si="13"/>
        <v>0</v>
      </c>
      <c r="E140" s="111">
        <f t="shared" ca="1" si="14"/>
        <v>0</v>
      </c>
      <c r="F140" s="111">
        <f t="shared" ca="1" si="11"/>
        <v>0</v>
      </c>
      <c r="G140" s="112">
        <f ca="1">IF(ROUND(SUM(B140:C140,-F140),0)=0,0,IF($B$6="Yes",SUM($C$9:C140),SUM(B140:C140,-F140)))</f>
        <v>0</v>
      </c>
    </row>
    <row r="141" spans="1:7" ht="16.149999999999999" customHeight="1" x14ac:dyDescent="0.25">
      <c r="A141" s="109">
        <f t="shared" ca="1" si="10"/>
        <v>49856</v>
      </c>
      <c r="B141" s="110">
        <f t="shared" ca="1" si="12"/>
        <v>0</v>
      </c>
      <c r="C141" s="115">
        <v>0</v>
      </c>
      <c r="D141" s="111">
        <f t="shared" ca="1" si="13"/>
        <v>0</v>
      </c>
      <c r="E141" s="111">
        <f t="shared" ca="1" si="14"/>
        <v>0</v>
      </c>
      <c r="F141" s="111">
        <f t="shared" ca="1" si="11"/>
        <v>0</v>
      </c>
      <c r="G141" s="112">
        <f ca="1">IF(ROUND(SUM(B141:C141,-F141),0)=0,0,IF($B$6="Yes",SUM($C$9:C141),SUM(B141:C141,-F141)))</f>
        <v>0</v>
      </c>
    </row>
    <row r="142" spans="1:7" ht="16.149999999999999" customHeight="1" x14ac:dyDescent="0.25">
      <c r="A142" s="109">
        <f t="shared" ca="1" si="10"/>
        <v>49887</v>
      </c>
      <c r="B142" s="110">
        <f t="shared" ca="1" si="12"/>
        <v>0</v>
      </c>
      <c r="C142" s="115">
        <v>0</v>
      </c>
      <c r="D142" s="111">
        <f t="shared" ca="1" si="13"/>
        <v>0</v>
      </c>
      <c r="E142" s="111">
        <f t="shared" ca="1" si="14"/>
        <v>0</v>
      </c>
      <c r="F142" s="111">
        <f t="shared" ca="1" si="11"/>
        <v>0</v>
      </c>
      <c r="G142" s="112">
        <f ca="1">IF(ROUND(SUM(B142:C142,-F142),0)=0,0,IF($B$6="Yes",SUM($C$9:C142),SUM(B142:C142,-F142)))</f>
        <v>0</v>
      </c>
    </row>
    <row r="143" spans="1:7" ht="16.149999999999999" customHeight="1" x14ac:dyDescent="0.25">
      <c r="A143" s="109">
        <f t="shared" ca="1" si="10"/>
        <v>49918</v>
      </c>
      <c r="B143" s="110">
        <f t="shared" ca="1" si="12"/>
        <v>0</v>
      </c>
      <c r="C143" s="115">
        <v>0</v>
      </c>
      <c r="D143" s="111">
        <f t="shared" ca="1" si="13"/>
        <v>0</v>
      </c>
      <c r="E143" s="111">
        <f t="shared" ca="1" si="14"/>
        <v>0</v>
      </c>
      <c r="F143" s="111">
        <f t="shared" ca="1" si="11"/>
        <v>0</v>
      </c>
      <c r="G143" s="112">
        <f ca="1">IF(ROUND(SUM(B143:C143,-F143),0)=0,0,IF($B$6="Yes",SUM($C$9:C143),SUM(B143:C143,-F143)))</f>
        <v>0</v>
      </c>
    </row>
    <row r="144" spans="1:7" ht="16.149999999999999" customHeight="1" x14ac:dyDescent="0.25">
      <c r="A144" s="109">
        <f t="shared" ca="1" si="10"/>
        <v>49948</v>
      </c>
      <c r="B144" s="110">
        <f t="shared" ca="1" si="12"/>
        <v>0</v>
      </c>
      <c r="C144" s="115">
        <v>0</v>
      </c>
      <c r="D144" s="111">
        <f t="shared" ca="1" si="13"/>
        <v>0</v>
      </c>
      <c r="E144" s="111">
        <f t="shared" ca="1" si="14"/>
        <v>0</v>
      </c>
      <c r="F144" s="111">
        <f t="shared" ca="1" si="11"/>
        <v>0</v>
      </c>
      <c r="G144" s="112">
        <f ca="1">IF(ROUND(SUM(B144:C144,-F144),0)=0,0,IF($B$6="Yes",SUM($C$9:C144),SUM(B144:C144,-F144)))</f>
        <v>0</v>
      </c>
    </row>
    <row r="145" spans="1:7" ht="16.149999999999999" customHeight="1" x14ac:dyDescent="0.25">
      <c r="A145" s="109">
        <f t="shared" ca="1" si="10"/>
        <v>49979</v>
      </c>
      <c r="B145" s="110">
        <f t="shared" ca="1" si="12"/>
        <v>0</v>
      </c>
      <c r="C145" s="115">
        <v>0</v>
      </c>
      <c r="D145" s="111">
        <f t="shared" ca="1" si="13"/>
        <v>0</v>
      </c>
      <c r="E145" s="111">
        <f t="shared" ca="1" si="14"/>
        <v>0</v>
      </c>
      <c r="F145" s="111">
        <f t="shared" ca="1" si="11"/>
        <v>0</v>
      </c>
      <c r="G145" s="112">
        <f ca="1">IF(ROUND(SUM(B145:C145,-F145),0)=0,0,IF($B$6="Yes",SUM($C$9:C145),SUM(B145:C145,-F145)))</f>
        <v>0</v>
      </c>
    </row>
    <row r="146" spans="1:7" ht="16.149999999999999" customHeight="1" x14ac:dyDescent="0.25">
      <c r="A146" s="109">
        <f t="shared" ca="1" si="10"/>
        <v>50009</v>
      </c>
      <c r="B146" s="110">
        <f t="shared" ca="1" si="12"/>
        <v>0</v>
      </c>
      <c r="C146" s="115">
        <v>0</v>
      </c>
      <c r="D146" s="111">
        <f t="shared" ca="1" si="13"/>
        <v>0</v>
      </c>
      <c r="E146" s="111">
        <f t="shared" ca="1" si="14"/>
        <v>0</v>
      </c>
      <c r="F146" s="111">
        <f t="shared" ca="1" si="11"/>
        <v>0</v>
      </c>
      <c r="G146" s="112">
        <f ca="1">IF(ROUND(SUM(B146:C146,-F146),0)=0,0,IF($B$6="Yes",SUM($C$9:C146),SUM(B146:C146,-F146)))</f>
        <v>0</v>
      </c>
    </row>
    <row r="147" spans="1:7" ht="16.149999999999999" customHeight="1" x14ac:dyDescent="0.25">
      <c r="A147" s="109">
        <f t="shared" ca="1" si="10"/>
        <v>50040</v>
      </c>
      <c r="B147" s="110">
        <f t="shared" ca="1" si="12"/>
        <v>0</v>
      </c>
      <c r="C147" s="115">
        <v>0</v>
      </c>
      <c r="D147" s="111">
        <f t="shared" ca="1" si="13"/>
        <v>0</v>
      </c>
      <c r="E147" s="111">
        <f t="shared" ca="1" si="14"/>
        <v>0</v>
      </c>
      <c r="F147" s="111">
        <f t="shared" ca="1" si="11"/>
        <v>0</v>
      </c>
      <c r="G147" s="112">
        <f ca="1">IF(ROUND(SUM(B147:C147,-F147),0)=0,0,IF($B$6="Yes",SUM($C$9:C147),SUM(B147:C147,-F147)))</f>
        <v>0</v>
      </c>
    </row>
    <row r="148" spans="1:7" ht="16.149999999999999" customHeight="1" x14ac:dyDescent="0.25">
      <c r="A148" s="109">
        <f t="shared" ca="1" si="10"/>
        <v>50071</v>
      </c>
      <c r="B148" s="110">
        <f t="shared" ca="1" si="12"/>
        <v>0</v>
      </c>
      <c r="C148" s="115">
        <v>0</v>
      </c>
      <c r="D148" s="111">
        <f t="shared" ca="1" si="13"/>
        <v>0</v>
      </c>
      <c r="E148" s="111">
        <f t="shared" ca="1" si="14"/>
        <v>0</v>
      </c>
      <c r="F148" s="111">
        <f t="shared" ca="1" si="11"/>
        <v>0</v>
      </c>
      <c r="G148" s="112">
        <f ca="1">IF(ROUND(SUM(B148:C148,-F148),0)=0,0,IF($B$6="Yes",SUM($C$9:C148),SUM(B148:C148,-F148)))</f>
        <v>0</v>
      </c>
    </row>
    <row r="149" spans="1:7" ht="16.149999999999999" customHeight="1" x14ac:dyDescent="0.25">
      <c r="A149" s="109">
        <f t="shared" ca="1" si="10"/>
        <v>50099</v>
      </c>
      <c r="B149" s="110">
        <f t="shared" ca="1" si="12"/>
        <v>0</v>
      </c>
      <c r="C149" s="115">
        <v>0</v>
      </c>
      <c r="D149" s="111">
        <f t="shared" ca="1" si="13"/>
        <v>0</v>
      </c>
      <c r="E149" s="111">
        <f t="shared" ca="1" si="14"/>
        <v>0</v>
      </c>
      <c r="F149" s="111">
        <f t="shared" ca="1" si="11"/>
        <v>0</v>
      </c>
      <c r="G149" s="112">
        <f ca="1">IF(ROUND(SUM(B149:C149,-F149),0)=0,0,IF($B$6="Yes",SUM($C$9:C149),SUM(B149:C149,-F149)))</f>
        <v>0</v>
      </c>
    </row>
    <row r="150" spans="1:7" ht="16.149999999999999" customHeight="1" x14ac:dyDescent="0.25">
      <c r="A150" s="109">
        <f t="shared" ca="1" si="10"/>
        <v>50130</v>
      </c>
      <c r="B150" s="110">
        <f t="shared" ca="1" si="12"/>
        <v>0</v>
      </c>
      <c r="C150" s="115">
        <v>0</v>
      </c>
      <c r="D150" s="111">
        <f t="shared" ca="1" si="13"/>
        <v>0</v>
      </c>
      <c r="E150" s="111">
        <f t="shared" ca="1" si="14"/>
        <v>0</v>
      </c>
      <c r="F150" s="111">
        <f t="shared" ca="1" si="11"/>
        <v>0</v>
      </c>
      <c r="G150" s="112">
        <f ca="1">IF(ROUND(SUM(B150:C150,-F150),0)=0,0,IF($B$6="Yes",SUM($C$9:C150),SUM(B150:C150,-F150)))</f>
        <v>0</v>
      </c>
    </row>
    <row r="151" spans="1:7" ht="16.149999999999999" customHeight="1" x14ac:dyDescent="0.25">
      <c r="A151" s="109">
        <f t="shared" ca="1" si="10"/>
        <v>50160</v>
      </c>
      <c r="B151" s="110">
        <f t="shared" ca="1" si="12"/>
        <v>0</v>
      </c>
      <c r="C151" s="115">
        <v>0</v>
      </c>
      <c r="D151" s="111">
        <f t="shared" ca="1" si="13"/>
        <v>0</v>
      </c>
      <c r="E151" s="111">
        <f t="shared" ca="1" si="14"/>
        <v>0</v>
      </c>
      <c r="F151" s="111">
        <f t="shared" ca="1" si="11"/>
        <v>0</v>
      </c>
      <c r="G151" s="112">
        <f ca="1">IF(ROUND(SUM(B151:C151,-F151),0)=0,0,IF($B$6="Yes",SUM($C$9:C151),SUM(B151:C151,-F151)))</f>
        <v>0</v>
      </c>
    </row>
    <row r="152" spans="1:7" ht="16.149999999999999" customHeight="1" x14ac:dyDescent="0.25">
      <c r="A152" s="109">
        <f t="shared" ca="1" si="10"/>
        <v>50191</v>
      </c>
      <c r="B152" s="110">
        <f t="shared" ca="1" si="12"/>
        <v>0</v>
      </c>
      <c r="C152" s="115">
        <v>0</v>
      </c>
      <c r="D152" s="111">
        <f t="shared" ca="1" si="13"/>
        <v>0</v>
      </c>
      <c r="E152" s="111">
        <f t="shared" ca="1" si="14"/>
        <v>0</v>
      </c>
      <c r="F152" s="111">
        <f t="shared" ca="1" si="11"/>
        <v>0</v>
      </c>
      <c r="G152" s="112">
        <f ca="1">IF(ROUND(SUM(B152:C152,-F152),0)=0,0,IF($B$6="Yes",SUM($C$9:C152),SUM(B152:C152,-F152)))</f>
        <v>0</v>
      </c>
    </row>
    <row r="153" spans="1:7" ht="16.149999999999999" customHeight="1" x14ac:dyDescent="0.25">
      <c r="A153" s="109">
        <f t="shared" ca="1" si="10"/>
        <v>50221</v>
      </c>
      <c r="B153" s="110">
        <f t="shared" ca="1" si="12"/>
        <v>0</v>
      </c>
      <c r="C153" s="115">
        <v>0</v>
      </c>
      <c r="D153" s="111">
        <f t="shared" ca="1" si="13"/>
        <v>0</v>
      </c>
      <c r="E153" s="111">
        <f t="shared" ca="1" si="14"/>
        <v>0</v>
      </c>
      <c r="F153" s="111">
        <f t="shared" ca="1" si="11"/>
        <v>0</v>
      </c>
      <c r="G153" s="112">
        <f ca="1">IF(ROUND(SUM(B153:C153,-F153),0)=0,0,IF($B$6="Yes",SUM($C$9:C153),SUM(B153:C153,-F153)))</f>
        <v>0</v>
      </c>
    </row>
    <row r="154" spans="1:7" ht="16.149999999999999" customHeight="1" x14ac:dyDescent="0.25">
      <c r="A154" s="109">
        <f t="shared" ca="1" si="10"/>
        <v>50252</v>
      </c>
      <c r="B154" s="110">
        <f t="shared" ca="1" si="12"/>
        <v>0</v>
      </c>
      <c r="C154" s="115">
        <v>0</v>
      </c>
      <c r="D154" s="111">
        <f t="shared" ca="1" si="13"/>
        <v>0</v>
      </c>
      <c r="E154" s="111">
        <f t="shared" ca="1" si="14"/>
        <v>0</v>
      </c>
      <c r="F154" s="111">
        <f t="shared" ca="1" si="11"/>
        <v>0</v>
      </c>
      <c r="G154" s="112">
        <f ca="1">IF(ROUND(SUM(B154:C154,-F154),0)=0,0,IF($B$6="Yes",SUM($C$9:C154),SUM(B154:C154,-F154)))</f>
        <v>0</v>
      </c>
    </row>
    <row r="155" spans="1:7" ht="16.149999999999999" customHeight="1" x14ac:dyDescent="0.25">
      <c r="A155" s="109">
        <f t="shared" ca="1" si="10"/>
        <v>50283</v>
      </c>
      <c r="B155" s="110">
        <f t="shared" ca="1" si="12"/>
        <v>0</v>
      </c>
      <c r="C155" s="115">
        <v>0</v>
      </c>
      <c r="D155" s="111">
        <f t="shared" ca="1" si="13"/>
        <v>0</v>
      </c>
      <c r="E155" s="111">
        <f t="shared" ca="1" si="14"/>
        <v>0</v>
      </c>
      <c r="F155" s="111">
        <f t="shared" ca="1" si="11"/>
        <v>0</v>
      </c>
      <c r="G155" s="112">
        <f ca="1">IF(ROUND(SUM(B155:C155,-F155),0)=0,0,IF($B$6="Yes",SUM($C$9:C155),SUM(B155:C155,-F155)))</f>
        <v>0</v>
      </c>
    </row>
    <row r="156" spans="1:7" ht="16.149999999999999" customHeight="1" x14ac:dyDescent="0.25">
      <c r="A156" s="109">
        <f t="shared" ca="1" si="10"/>
        <v>50313</v>
      </c>
      <c r="B156" s="110">
        <f t="shared" ca="1" si="12"/>
        <v>0</v>
      </c>
      <c r="C156" s="115">
        <v>0</v>
      </c>
      <c r="D156" s="111">
        <f t="shared" ca="1" si="13"/>
        <v>0</v>
      </c>
      <c r="E156" s="111">
        <f t="shared" ca="1" si="14"/>
        <v>0</v>
      </c>
      <c r="F156" s="111">
        <f t="shared" ca="1" si="11"/>
        <v>0</v>
      </c>
      <c r="G156" s="112">
        <f ca="1">IF(ROUND(SUM(B156:C156,-F156),0)=0,0,IF($B$6="Yes",SUM($C$9:C156),SUM(B156:C156,-F156)))</f>
        <v>0</v>
      </c>
    </row>
    <row r="157" spans="1:7" ht="16.149999999999999" customHeight="1" x14ac:dyDescent="0.25">
      <c r="A157" s="109">
        <f t="shared" ca="1" si="10"/>
        <v>50344</v>
      </c>
      <c r="B157" s="110">
        <f t="shared" ca="1" si="12"/>
        <v>0</v>
      </c>
      <c r="C157" s="115">
        <v>0</v>
      </c>
      <c r="D157" s="111">
        <f t="shared" ca="1" si="13"/>
        <v>0</v>
      </c>
      <c r="E157" s="111">
        <f t="shared" ca="1" si="14"/>
        <v>0</v>
      </c>
      <c r="F157" s="111">
        <f t="shared" ca="1" si="11"/>
        <v>0</v>
      </c>
      <c r="G157" s="112">
        <f ca="1">IF(ROUND(SUM(B157:C157,-F157),0)=0,0,IF($B$6="Yes",SUM($C$9:C157),SUM(B157:C157,-F157)))</f>
        <v>0</v>
      </c>
    </row>
    <row r="158" spans="1:7" ht="16.149999999999999" customHeight="1" x14ac:dyDescent="0.25">
      <c r="A158" s="109">
        <f t="shared" ca="1" si="10"/>
        <v>50374</v>
      </c>
      <c r="B158" s="110">
        <f t="shared" ca="1" si="12"/>
        <v>0</v>
      </c>
      <c r="C158" s="115">
        <v>0</v>
      </c>
      <c r="D158" s="111">
        <f t="shared" ca="1" si="13"/>
        <v>0</v>
      </c>
      <c r="E158" s="111">
        <f t="shared" ca="1" si="14"/>
        <v>0</v>
      </c>
      <c r="F158" s="111">
        <f t="shared" ca="1" si="11"/>
        <v>0</v>
      </c>
      <c r="G158" s="112">
        <f ca="1">IF(ROUND(SUM(B158:C158,-F158),0)=0,0,IF($B$6="Yes",SUM($C$9:C158),SUM(B158:C158,-F158)))</f>
        <v>0</v>
      </c>
    </row>
    <row r="159" spans="1:7" ht="16.149999999999999" customHeight="1" x14ac:dyDescent="0.25">
      <c r="A159" s="109">
        <f t="shared" ca="1" si="10"/>
        <v>50405</v>
      </c>
      <c r="B159" s="110">
        <f t="shared" ca="1" si="12"/>
        <v>0</v>
      </c>
      <c r="C159" s="115">
        <v>0</v>
      </c>
      <c r="D159" s="111">
        <f t="shared" ca="1" si="13"/>
        <v>0</v>
      </c>
      <c r="E159" s="111">
        <f t="shared" ca="1" si="14"/>
        <v>0</v>
      </c>
      <c r="F159" s="111">
        <f t="shared" ca="1" si="11"/>
        <v>0</v>
      </c>
      <c r="G159" s="112">
        <f ca="1">IF(ROUND(SUM(B159:C159,-F159),0)=0,0,IF($B$6="Yes",SUM($C$9:C159),SUM(B159:C159,-F159)))</f>
        <v>0</v>
      </c>
    </row>
    <row r="160" spans="1:7" ht="16.149999999999999" customHeight="1" x14ac:dyDescent="0.25">
      <c r="A160" s="109">
        <f t="shared" ca="1" si="10"/>
        <v>50436</v>
      </c>
      <c r="B160" s="110">
        <f t="shared" ca="1" si="12"/>
        <v>0</v>
      </c>
      <c r="C160" s="115">
        <v>0</v>
      </c>
      <c r="D160" s="111">
        <f t="shared" ca="1" si="13"/>
        <v>0</v>
      </c>
      <c r="E160" s="111">
        <f t="shared" ca="1" si="14"/>
        <v>0</v>
      </c>
      <c r="F160" s="111">
        <f t="shared" ca="1" si="11"/>
        <v>0</v>
      </c>
      <c r="G160" s="112">
        <f ca="1">IF(ROUND(SUM(B160:C160,-F160),0)=0,0,IF($B$6="Yes",SUM($C$9:C160),SUM(B160:C160,-F160)))</f>
        <v>0</v>
      </c>
    </row>
    <row r="161" spans="1:7" ht="16.149999999999999" customHeight="1" x14ac:dyDescent="0.25">
      <c r="A161" s="109">
        <f t="shared" ca="1" si="10"/>
        <v>50464</v>
      </c>
      <c r="B161" s="110">
        <f t="shared" ca="1" si="12"/>
        <v>0</v>
      </c>
      <c r="C161" s="115">
        <v>0</v>
      </c>
      <c r="D161" s="111">
        <f t="shared" ca="1" si="13"/>
        <v>0</v>
      </c>
      <c r="E161" s="111">
        <f t="shared" ca="1" si="14"/>
        <v>0</v>
      </c>
      <c r="F161" s="111">
        <f t="shared" ca="1" si="11"/>
        <v>0</v>
      </c>
      <c r="G161" s="112">
        <f ca="1">IF(ROUND(SUM(B161:C161,-F161),0)=0,0,IF($B$6="Yes",SUM($C$9:C161),SUM(B161:C161,-F161)))</f>
        <v>0</v>
      </c>
    </row>
    <row r="162" spans="1:7" ht="16.149999999999999" customHeight="1" x14ac:dyDescent="0.25">
      <c r="A162" s="109">
        <f t="shared" ca="1" si="10"/>
        <v>50495</v>
      </c>
      <c r="B162" s="110">
        <f t="shared" ca="1" si="12"/>
        <v>0</v>
      </c>
      <c r="C162" s="115">
        <v>0</v>
      </c>
      <c r="D162" s="111">
        <f t="shared" ca="1" si="13"/>
        <v>0</v>
      </c>
      <c r="E162" s="111">
        <f t="shared" ca="1" si="14"/>
        <v>0</v>
      </c>
      <c r="F162" s="111">
        <f t="shared" ca="1" si="11"/>
        <v>0</v>
      </c>
      <c r="G162" s="112">
        <f ca="1">IF(ROUND(SUM(B162:C162,-F162),0)=0,0,IF($B$6="Yes",SUM($C$9:C162),SUM(B162:C162,-F162)))</f>
        <v>0</v>
      </c>
    </row>
    <row r="163" spans="1:7" ht="16.149999999999999" customHeight="1" x14ac:dyDescent="0.25">
      <c r="A163" s="109">
        <f t="shared" ca="1" si="10"/>
        <v>50525</v>
      </c>
      <c r="B163" s="110">
        <f t="shared" ca="1" si="12"/>
        <v>0</v>
      </c>
      <c r="C163" s="115">
        <v>0</v>
      </c>
      <c r="D163" s="111">
        <f t="shared" ca="1" si="13"/>
        <v>0</v>
      </c>
      <c r="E163" s="111">
        <f t="shared" ca="1" si="14"/>
        <v>0</v>
      </c>
      <c r="F163" s="111">
        <f t="shared" ca="1" si="11"/>
        <v>0</v>
      </c>
      <c r="G163" s="112">
        <f ca="1">IF(ROUND(SUM(B163:C163,-F163),0)=0,0,IF($B$6="Yes",SUM($C$9:C163),SUM(B163:C163,-F163)))</f>
        <v>0</v>
      </c>
    </row>
    <row r="164" spans="1:7" ht="16.149999999999999" customHeight="1" x14ac:dyDescent="0.25">
      <c r="A164" s="109">
        <f t="shared" ca="1" si="10"/>
        <v>50556</v>
      </c>
      <c r="B164" s="110">
        <f t="shared" ca="1" si="12"/>
        <v>0</v>
      </c>
      <c r="C164" s="115">
        <v>0</v>
      </c>
      <c r="D164" s="111">
        <f t="shared" ca="1" si="13"/>
        <v>0</v>
      </c>
      <c r="E164" s="111">
        <f t="shared" ca="1" si="14"/>
        <v>0</v>
      </c>
      <c r="F164" s="111">
        <f t="shared" ca="1" si="11"/>
        <v>0</v>
      </c>
      <c r="G164" s="112">
        <f ca="1">IF(ROUND(SUM(B164:C164,-F164),0)=0,0,IF($B$6="Yes",SUM($C$9:C164),SUM(B164:C164,-F164)))</f>
        <v>0</v>
      </c>
    </row>
    <row r="165" spans="1:7" ht="16.149999999999999" customHeight="1" x14ac:dyDescent="0.25">
      <c r="A165" s="109">
        <f t="shared" ca="1" si="10"/>
        <v>50586</v>
      </c>
      <c r="B165" s="110">
        <f t="shared" ca="1" si="12"/>
        <v>0</v>
      </c>
      <c r="C165" s="115">
        <v>0</v>
      </c>
      <c r="D165" s="111">
        <f t="shared" ca="1" si="13"/>
        <v>0</v>
      </c>
      <c r="E165" s="111">
        <f t="shared" ca="1" si="14"/>
        <v>0</v>
      </c>
      <c r="F165" s="111">
        <f t="shared" ca="1" si="11"/>
        <v>0</v>
      </c>
      <c r="G165" s="112">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Info</vt:lpstr>
      <vt:lpstr>Trial</vt:lpstr>
      <vt:lpstr>Instructions</vt:lpstr>
      <vt:lpstr>Assumptions</vt:lpstr>
      <vt:lpstr>IncState</vt:lpstr>
      <vt:lpstr>CashFlow</vt:lpstr>
      <vt:lpstr>BalanceSheet</vt:lpstr>
      <vt:lpstr>Loans1</vt:lpstr>
      <vt:lpstr>Loans2</vt:lpstr>
      <vt:lpstr>Loans3</vt:lpstr>
      <vt:lpstr>Leases</vt:lpstr>
      <vt:lpstr>Assumptions!Print_Area</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Plan Cash Flow Forecast Template - Excel Skills</dc:title>
  <dc:subject>Business Plam</dc:subject>
  <dc:creator>Excel Skills International</dc:creator>
  <cp:keywords>cash flow, business plan</cp:keywords>
  <cp:lastModifiedBy>Musa Steven</cp:lastModifiedBy>
  <cp:lastPrinted>2020-09-25T13:48:41Z</cp:lastPrinted>
  <dcterms:created xsi:type="dcterms:W3CDTF">2009-07-26T08:36:26Z</dcterms:created>
  <dcterms:modified xsi:type="dcterms:W3CDTF">2024-11-17T12:27:46Z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4df3d904-5ad9-4ee6-86a3-c8ae9ece469a</vt:lpwstr>
  </property>
</Properties>
</file>